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d.docs.live.net/46e03a0a2dcea48f/Documents/NavWeaps/index_nathan/"/>
    </mc:Choice>
  </mc:AlternateContent>
  <xr:revisionPtr revIDLastSave="30" documentId="13_ncr:1_{4DD1EDE8-E0EA-40F9-BF57-6C4AAFAB8A06}" xr6:coauthVersionLast="47" xr6:coauthVersionMax="47" xr10:uidLastSave="{65BE62A5-AF7F-4762-BF2F-386CF8B15EFA}"/>
  <bookViews>
    <workbookView xWindow="-108" yWindow="-108" windowWidth="30936" windowHeight="16776" tabRatio="771" xr2:uid="{00000000-000D-0000-FFFF-FFFF00000000}"/>
  </bookViews>
  <sheets>
    <sheet name="Ins&amp;Outs" sheetId="1" r:id="rId1"/>
    <sheet name="generic tables" sheetId="6" r:id="rId2"/>
    <sheet name="Projectile Data" sheetId="4" r:id="rId3"/>
    <sheet name="Armor Data" sheetId="5" r:id="rId4"/>
    <sheet name="FACECALC" sheetId="7" r:id="rId5"/>
    <sheet name="SCALEFACTOR" sheetId="3" r:id="rId6"/>
    <sheet name="SETOBMULT" sheetId="8" r:id="rId7"/>
    <sheet name="OBMULT" sheetId="10" r:id="rId8"/>
    <sheet name="NOSEDAM" sheetId="11" r:id="rId9"/>
    <sheet name="PROJQMODS" sheetId="12" r:id="rId10"/>
    <sheet name="PLUGCALC" sheetId="13" r:id="rId11"/>
    <sheet name="CALCVDF" sheetId="14" r:id="rId12"/>
    <sheet name="BENDLOGIC" sheetId="15" r:id="rId13"/>
    <sheet name="THRESHOLDCALC" sheetId="16" r:id="rId14"/>
    <sheet name="INITVALHDR" sheetId="17" r:id="rId15"/>
    <sheet name="DEFLECCALC" sheetId="18" r:id="rId16"/>
    <sheet name="SHATRDAM" sheetId="19" r:id="rId17"/>
    <sheet name="NOSEBROKE" sheetId="20" r:id="rId18"/>
    <sheet name="PENVRVPLGCALC" sheetId="21" r:id="rId19"/>
    <sheet name="SETMINEV" sheetId="22" r:id="rId20"/>
    <sheet name="EFFVELINIT" sheetId="23" r:id="rId21"/>
    <sheet name="GETPROJDWTWB" sheetId="24" r:id="rId22"/>
    <sheet name="DOCRTGOOD" sheetId="25" r:id="rId23"/>
    <sheet name="REMVELPRNT" sheetId="26" r:id="rId24"/>
    <sheet name="temp REMVELPRNT" sheetId="51" r:id="rId25"/>
    <sheet name="MODIFYVDF" sheetId="27" r:id="rId26"/>
    <sheet name="SHTRMULTSELECT" sheetId="28" r:id="rId27"/>
    <sheet name="MINEVSHATCALC" sheetId="29" r:id="rId28"/>
    <sheet name="THINSELECT" sheetId="30" r:id="rId29"/>
    <sheet name="THINPRINT" sheetId="31" r:id="rId30"/>
    <sheet name="CALCBL" sheetId="33" r:id="rId31"/>
    <sheet name="BLPLUSEX" sheetId="34" r:id="rId32"/>
    <sheet name="BLPLUSEXtemp" sheetId="9" r:id="rId33"/>
    <sheet name="DAMAGECALC" sheetId="35" r:id="rId34"/>
    <sheet name="FINALRESULTS" sheetId="37" r:id="rId35"/>
    <sheet name="RESULTSPRINT" sheetId="38" r:id="rId36"/>
    <sheet name="SETUPSECPG" sheetId="42" r:id="rId37"/>
    <sheet name="DAMAGESETUP" sheetId="48" r:id="rId38"/>
    <sheet name="main calculation sheet" sheetId="32" r:id="rId39"/>
    <sheet name="ORDER OF SUBS" sheetId="39" r:id="rId40"/>
    <sheet name="SPLNTRPRNT" sheetId="44" r:id="rId41"/>
    <sheet name="NSBDYDAMPRNT" sheetId="45" r:id="rId42"/>
    <sheet name="PROJMOTIONPRNT" sheetId="47" r:id="rId43"/>
    <sheet name="PENPRINT" sheetId="46" r:id="rId44"/>
    <sheet name="LMTSTRINGS" sheetId="43" r:id="rId45"/>
    <sheet name="SCPGPRNT" sheetId="49" r:id="rId46"/>
  </sheets>
  <definedNames>
    <definedName name="solver_cvg" localSheetId="23" hidden="1">0.0001</definedName>
    <definedName name="solver_drv" localSheetId="23" hidden="1">2</definedName>
    <definedName name="solver_eng" localSheetId="23" hidden="1">1</definedName>
    <definedName name="solver_est" localSheetId="23" hidden="1">1</definedName>
    <definedName name="solver_itr" localSheetId="23" hidden="1">2147483647</definedName>
    <definedName name="solver_mip" localSheetId="23" hidden="1">2147483647</definedName>
    <definedName name="solver_mni" localSheetId="23" hidden="1">30</definedName>
    <definedName name="solver_mrt" localSheetId="23" hidden="1">0.075</definedName>
    <definedName name="solver_msl" localSheetId="23" hidden="1">2</definedName>
    <definedName name="solver_neg" localSheetId="23" hidden="1">1</definedName>
    <definedName name="solver_nod" localSheetId="23" hidden="1">2147483647</definedName>
    <definedName name="solver_num" localSheetId="23" hidden="1">0</definedName>
    <definedName name="solver_nwt" localSheetId="23" hidden="1">1</definedName>
    <definedName name="solver_opt" localSheetId="23" hidden="1">REMVELPRNT!$B$12</definedName>
    <definedName name="solver_pre" localSheetId="23" hidden="1">0.000001</definedName>
    <definedName name="solver_rbv" localSheetId="23" hidden="1">2</definedName>
    <definedName name="solver_rlx" localSheetId="23" hidden="1">2</definedName>
    <definedName name="solver_rsd" localSheetId="23" hidden="1">0</definedName>
    <definedName name="solver_scl" localSheetId="23" hidden="1">2</definedName>
    <definedName name="solver_sho" localSheetId="23" hidden="1">2</definedName>
    <definedName name="solver_ssz" localSheetId="23" hidden="1">100</definedName>
    <definedName name="solver_tim" localSheetId="23" hidden="1">2147483647</definedName>
    <definedName name="solver_tol" localSheetId="23" hidden="1">0.01</definedName>
    <definedName name="solver_typ" localSheetId="23" hidden="1">2</definedName>
    <definedName name="solver_val" localSheetId="23" hidden="1">0</definedName>
    <definedName name="solver_ver" localSheetId="23"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 i="5" l="1" a="1"/>
  <c r="V3" i="5" s="1"/>
  <c r="B24" i="32" l="1"/>
  <c r="B19" i="32"/>
  <c r="B18" i="32"/>
  <c r="B17" i="32"/>
  <c r="I68" i="26"/>
  <c r="I67" i="26"/>
  <c r="I66" i="26"/>
  <c r="I65" i="26"/>
  <c r="I64" i="26"/>
  <c r="D64" i="26"/>
  <c r="I63" i="26"/>
  <c r="I62" i="26"/>
  <c r="I61" i="26"/>
  <c r="I60" i="26"/>
  <c r="I59" i="26"/>
  <c r="I58" i="26"/>
  <c r="D58" i="26"/>
  <c r="I57" i="26"/>
  <c r="I56" i="26"/>
  <c r="I55" i="26"/>
  <c r="I54" i="26"/>
  <c r="I53" i="26"/>
  <c r="I52" i="26"/>
  <c r="I51" i="26"/>
  <c r="I50" i="26"/>
  <c r="I49" i="26"/>
  <c r="I48" i="26"/>
  <c r="I47" i="26"/>
  <c r="I46" i="26"/>
  <c r="I45" i="26"/>
  <c r="I44" i="26"/>
  <c r="I43" i="26"/>
  <c r="I42" i="26"/>
  <c r="I41" i="26"/>
  <c r="D41" i="26"/>
  <c r="I40" i="26"/>
  <c r="I39" i="26"/>
  <c r="I38" i="26"/>
  <c r="I37" i="26"/>
  <c r="I36" i="26"/>
  <c r="I35" i="26"/>
  <c r="I34" i="26"/>
  <c r="I33" i="26"/>
  <c r="K32" i="26"/>
  <c r="I32" i="26"/>
  <c r="K31" i="26"/>
  <c r="I31" i="26"/>
  <c r="K30" i="26"/>
  <c r="I30" i="26"/>
  <c r="K29" i="26"/>
  <c r="I29" i="26"/>
  <c r="M28" i="26"/>
  <c r="K28" i="26"/>
  <c r="I28" i="26"/>
  <c r="M27" i="26"/>
  <c r="K27" i="26"/>
  <c r="I27" i="26"/>
  <c r="K26" i="26"/>
  <c r="M26" i="26"/>
  <c r="I26" i="26"/>
  <c r="M25" i="26"/>
  <c r="K25" i="26"/>
  <c r="I25" i="26"/>
  <c r="M24" i="26"/>
  <c r="K24" i="26"/>
  <c r="I24" i="26"/>
  <c r="M23" i="26"/>
  <c r="K23" i="26"/>
  <c r="J23" i="26"/>
  <c r="I23" i="26"/>
  <c r="M22" i="26"/>
  <c r="K22" i="26"/>
  <c r="J22" i="26"/>
  <c r="I22" i="26"/>
  <c r="M21" i="26"/>
  <c r="L21" i="26"/>
  <c r="K21" i="26"/>
  <c r="J21" i="26"/>
  <c r="I21" i="26"/>
  <c r="M20" i="26"/>
  <c r="L20" i="26"/>
  <c r="K20" i="26"/>
  <c r="J20" i="26"/>
  <c r="I20" i="26"/>
  <c r="M19" i="26"/>
  <c r="L19" i="26"/>
  <c r="K19" i="26"/>
  <c r="J19" i="26"/>
  <c r="I19" i="26"/>
  <c r="M18" i="26"/>
  <c r="L18" i="26"/>
  <c r="K18" i="26"/>
  <c r="J18" i="26"/>
  <c r="I18" i="26"/>
  <c r="D21" i="26"/>
  <c r="C33" i="46"/>
  <c r="C25" i="46"/>
  <c r="C13" i="46"/>
  <c r="C9" i="46"/>
  <c r="B9" i="8"/>
  <c r="W37" i="34"/>
  <c r="V37" i="34"/>
  <c r="U37" i="34"/>
  <c r="T37" i="34"/>
  <c r="S37" i="34"/>
  <c r="R37" i="34"/>
  <c r="Q37" i="34"/>
  <c r="P37" i="34"/>
  <c r="B37" i="42"/>
  <c r="B34" i="42"/>
  <c r="W38" i="34" l="1"/>
  <c r="W39" i="34" s="1"/>
  <c r="W40" i="34" s="1"/>
  <c r="W41" i="34" s="1"/>
  <c r="W42" i="34" s="1"/>
  <c r="W43" i="34" s="1"/>
  <c r="W44" i="34" s="1"/>
  <c r="W45" i="34" s="1"/>
  <c r="W46" i="34" s="1"/>
  <c r="V38" i="34"/>
  <c r="V39" i="34" s="1"/>
  <c r="T38" i="34"/>
  <c r="T39" i="34" s="1"/>
  <c r="T40" i="34" s="1"/>
  <c r="T41" i="34" s="1"/>
  <c r="S38" i="34"/>
  <c r="S39" i="34" s="1"/>
  <c r="S40" i="34" s="1"/>
  <c r="S41" i="34" s="1"/>
  <c r="S42" i="34" s="1"/>
  <c r="S43" i="34" s="1"/>
  <c r="S44" i="34" s="1"/>
  <c r="S45" i="34" s="1"/>
  <c r="S46" i="34" s="1"/>
  <c r="R38" i="34"/>
  <c r="R39" i="34" s="1"/>
  <c r="R40" i="34" s="1"/>
  <c r="Q38" i="34"/>
  <c r="O38" i="34"/>
  <c r="O39" i="34" s="1"/>
  <c r="O40" i="34" s="1"/>
  <c r="O41" i="34" s="1"/>
  <c r="O42" i="34" s="1"/>
  <c r="O43" i="34" s="1"/>
  <c r="O44" i="34" s="1"/>
  <c r="O45" i="34" s="1"/>
  <c r="O46" i="34" s="1"/>
  <c r="O47" i="34" s="1"/>
  <c r="O48" i="34" s="1"/>
  <c r="O49" i="34" s="1"/>
  <c r="O50" i="34" s="1"/>
  <c r="O51" i="34" s="1"/>
  <c r="O52" i="34" s="1"/>
  <c r="O53" i="34" s="1"/>
  <c r="O54" i="34" s="1"/>
  <c r="O55" i="34" s="1"/>
  <c r="O56" i="34" s="1"/>
  <c r="O57" i="34" s="1"/>
  <c r="O58" i="34" s="1"/>
  <c r="O59" i="34" s="1"/>
  <c r="O60" i="34" s="1"/>
  <c r="N38" i="34"/>
  <c r="N39" i="34" s="1"/>
  <c r="N40" i="34" s="1"/>
  <c r="N41" i="34" s="1"/>
  <c r="N42" i="34" s="1"/>
  <c r="N43" i="34" s="1"/>
  <c r="N44" i="34" s="1"/>
  <c r="N45" i="34" s="1"/>
  <c r="N46" i="34" s="1"/>
  <c r="N47" i="34" s="1"/>
  <c r="M38" i="34"/>
  <c r="M39" i="34" s="1"/>
  <c r="M40" i="34" s="1"/>
  <c r="M41" i="34" s="1"/>
  <c r="M42" i="34" s="1"/>
  <c r="B15" i="37"/>
  <c r="B16" i="34"/>
  <c r="B3" i="33"/>
  <c r="B34" i="32"/>
  <c r="B29" i="32"/>
  <c r="B22" i="32" a="1"/>
  <c r="B22" i="32" s="1"/>
  <c r="B23" i="32"/>
  <c r="B4" i="27"/>
  <c r="B9" i="27" s="1"/>
  <c r="O62" i="34" l="1"/>
  <c r="O61" i="34"/>
  <c r="B21" i="32"/>
  <c r="B5" i="24"/>
  <c r="B6" i="24" s="1"/>
  <c r="B7" i="24" s="1"/>
  <c r="B4" i="24"/>
  <c r="B32" i="21"/>
  <c r="B25" i="21"/>
  <c r="AP4" i="4" l="1"/>
  <c r="AK4" i="4"/>
  <c r="AU4" i="4"/>
  <c r="AX4" i="4"/>
  <c r="AN4" i="4"/>
  <c r="AJ4" i="4"/>
  <c r="AR4" i="4"/>
  <c r="AW4" i="4"/>
  <c r="AM4" i="4"/>
  <c r="AI4" i="4"/>
  <c r="AQ4" i="4"/>
  <c r="B14" i="34" s="1"/>
  <c r="B36" i="32"/>
  <c r="AS4" i="4"/>
  <c r="AL4" i="4"/>
  <c r="AV4" i="4"/>
  <c r="AO4" i="5"/>
  <c r="AN4" i="5"/>
  <c r="AM4" i="5"/>
  <c r="B3" i="35" s="1"/>
  <c r="AL4" i="5"/>
  <c r="B3" i="17"/>
  <c r="B7" i="12"/>
  <c r="B6" i="12"/>
  <c r="B5" i="14" l="1" a="1"/>
  <c r="B5" i="14" s="1"/>
  <c r="B5" i="20"/>
  <c r="B8" i="20" s="1"/>
  <c r="B6" i="14"/>
  <c r="B26" i="33"/>
  <c r="B10" i="33"/>
  <c r="B5" i="33"/>
  <c r="B28" i="32"/>
  <c r="B40" i="33"/>
  <c r="B41" i="33" s="1"/>
  <c r="B3" i="30" a="1"/>
  <c r="B3" i="30" s="1"/>
  <c r="B3" i="31" s="1" a="1"/>
  <c r="B3" i="31" s="1"/>
  <c r="B5" i="8"/>
  <c r="C86" i="5"/>
  <c r="C79" i="5"/>
  <c r="C70" i="5"/>
  <c r="C61" i="5"/>
  <c r="C51" i="5"/>
  <c r="C39" i="5"/>
  <c r="C29" i="5"/>
  <c r="C85" i="5"/>
  <c r="C78" i="5"/>
  <c r="C69" i="5"/>
  <c r="C60" i="5"/>
  <c r="C50" i="5"/>
  <c r="C38" i="5"/>
  <c r="C28" i="5"/>
  <c r="C17" i="5"/>
  <c r="C16" i="5"/>
  <c r="V3" i="4" a="1"/>
  <c r="V3" i="4" s="1"/>
  <c r="B6" i="8" l="1"/>
  <c r="B7" i="8"/>
  <c r="B7" i="33"/>
  <c r="C43" i="5"/>
  <c r="D43" i="5" s="1"/>
  <c r="AJ4" i="5" s="1"/>
  <c r="B15" i="32" s="1"/>
  <c r="V22" i="4"/>
  <c r="V21" i="4"/>
  <c r="V20" i="4"/>
  <c r="V19" i="4"/>
  <c r="V18" i="4"/>
  <c r="V17" i="4"/>
  <c r="V16" i="4"/>
  <c r="V15" i="4"/>
  <c r="V14" i="4"/>
  <c r="V13" i="4"/>
  <c r="V12" i="4"/>
  <c r="V11" i="4"/>
  <c r="V10" i="4"/>
  <c r="V9" i="4"/>
  <c r="V8" i="4"/>
  <c r="V7" i="4"/>
  <c r="V6" i="4"/>
  <c r="V5" i="4"/>
  <c r="V4" i="4"/>
  <c r="B3" i="12" l="1"/>
  <c r="B4" i="12" s="1"/>
  <c r="B13" i="33"/>
  <c r="B50" i="32"/>
  <c r="B38" i="32"/>
  <c r="AI4" i="5"/>
  <c r="B14" i="32" s="1"/>
  <c r="B3" i="8" a="1"/>
  <c r="B3" i="8" s="1"/>
  <c r="B11" i="8"/>
  <c r="B3" i="14" a="1"/>
  <c r="B3" i="14" s="1"/>
  <c r="A12" i="27"/>
  <c r="A3" i="27"/>
  <c r="B2" i="7"/>
  <c r="AP4" i="5" s="1"/>
  <c r="B4" i="33" s="1"/>
  <c r="B5" i="12" l="1"/>
  <c r="B8" i="12" s="1"/>
  <c r="B11" i="33"/>
  <c r="B17" i="33" s="1"/>
  <c r="B6" i="33"/>
  <c r="B8" i="33" s="1"/>
  <c r="B16" i="33" s="1"/>
  <c r="B19" i="33" s="1"/>
  <c r="B29" i="33" s="1"/>
  <c r="B31" i="33" s="1"/>
  <c r="B43" i="32"/>
  <c r="B58" i="32" s="1"/>
  <c r="B42" i="32"/>
  <c r="B67" i="32" s="1"/>
  <c r="B40" i="32"/>
  <c r="B56" i="32" s="1"/>
  <c r="B39" i="32"/>
  <c r="B26" i="32"/>
  <c r="U11" i="1" s="1"/>
  <c r="B32" i="32"/>
  <c r="B31" i="32" s="1"/>
  <c r="B58" i="33"/>
  <c r="AO4" i="4"/>
  <c r="B23" i="33" s="1"/>
  <c r="B24" i="33" s="1"/>
  <c r="AT4" i="4"/>
  <c r="B3" i="11" s="1"/>
  <c r="B4" i="11" s="1"/>
  <c r="B5" i="11" s="1"/>
  <c r="B6" i="11" s="1"/>
  <c r="B4" i="14"/>
  <c r="B19" i="27" s="1"/>
  <c r="B45" i="33"/>
  <c r="B10" i="27" s="1"/>
  <c r="E83" i="5"/>
  <c r="E70" i="5"/>
  <c r="J70" i="5" s="1"/>
  <c r="E61" i="5"/>
  <c r="J61" i="5" s="1"/>
  <c r="E50" i="5"/>
  <c r="J50" i="5" s="1"/>
  <c r="E38" i="5"/>
  <c r="J38" i="5" s="1"/>
  <c r="E17" i="5"/>
  <c r="J17" i="5" s="1"/>
  <c r="E79" i="5"/>
  <c r="J79" i="5" s="1"/>
  <c r="E69" i="5"/>
  <c r="J69" i="5" s="1"/>
  <c r="E60" i="5"/>
  <c r="J60" i="5" s="1"/>
  <c r="E48" i="5"/>
  <c r="E29" i="5"/>
  <c r="J29" i="5" s="1"/>
  <c r="E16" i="5"/>
  <c r="J16" i="5" s="1"/>
  <c r="E86" i="5"/>
  <c r="J86" i="5" s="1"/>
  <c r="E64" i="5"/>
  <c r="E58" i="5"/>
  <c r="E36" i="5"/>
  <c r="E14" i="5"/>
  <c r="E85" i="5"/>
  <c r="J85" i="5" s="1"/>
  <c r="E76" i="5"/>
  <c r="E67" i="5"/>
  <c r="E51" i="5"/>
  <c r="J51" i="5" s="1"/>
  <c r="E39" i="5"/>
  <c r="J39" i="5" s="1"/>
  <c r="E78" i="5"/>
  <c r="J78" i="5" s="1"/>
  <c r="E28" i="5"/>
  <c r="J28" i="5" s="1"/>
  <c r="E26" i="5"/>
  <c r="B9" i="12" l="1"/>
  <c r="B10" i="12" s="1" a="1"/>
  <c r="B10" i="12" s="1"/>
  <c r="B11" i="12" s="1"/>
  <c r="B12" i="12" s="1"/>
  <c r="B35" i="33"/>
  <c r="B36" i="33" s="1"/>
  <c r="B37" i="33" s="1"/>
  <c r="B38" i="33" s="1"/>
  <c r="B39" i="33" s="1"/>
  <c r="B51" i="32"/>
  <c r="B57" i="32" s="1"/>
  <c r="B4" i="8"/>
  <c r="AK4" i="5"/>
  <c r="B3" i="3" s="1"/>
  <c r="B33" i="33"/>
  <c r="B29" i="16"/>
  <c r="E43" i="16" s="1"/>
  <c r="B31" i="16"/>
  <c r="E34" i="16"/>
  <c r="C32" i="16"/>
  <c r="B6" i="16"/>
  <c r="B4" i="16"/>
  <c r="E18" i="16" s="1"/>
  <c r="E9" i="16"/>
  <c r="C7" i="16"/>
  <c r="B27" i="27" a="1"/>
  <c r="B27" i="27" s="1"/>
  <c r="B18" i="27"/>
  <c r="B26" i="27" s="1" a="1"/>
  <c r="B26" i="27" s="1"/>
  <c r="B53" i="32" l="1"/>
  <c r="B59" i="32" s="1"/>
  <c r="B61" i="32" s="1"/>
  <c r="B62" i="32" s="1"/>
  <c r="B63" i="32" s="1"/>
  <c r="B3" i="28" s="1" a="1"/>
  <c r="B3" i="28" s="1"/>
  <c r="B4" i="28" s="1"/>
  <c r="B5" i="28" s="1"/>
  <c r="B9" i="23"/>
  <c r="B36" i="21"/>
  <c r="B37" i="34"/>
  <c r="B39" i="42"/>
  <c r="B93" i="34"/>
  <c r="B3" i="45" a="1"/>
  <c r="B3" i="45" s="1"/>
  <c r="N8" i="1" s="1"/>
  <c r="B66" i="32"/>
  <c r="B26" i="42"/>
  <c r="B37" i="21"/>
  <c r="B30" i="37"/>
  <c r="B7" i="3" a="1"/>
  <c r="B7" i="3" s="1"/>
  <c r="B5" i="3" a="1"/>
  <c r="B5" i="3" s="1"/>
  <c r="B6" i="3" a="1"/>
  <c r="B6" i="3" s="1"/>
  <c r="B33" i="16"/>
  <c r="B8" i="16"/>
  <c r="C38" i="34" l="1"/>
  <c r="C42" i="34"/>
  <c r="B27" i="33"/>
  <c r="B3" i="13" a="1"/>
  <c r="B3" i="13" s="1"/>
  <c r="B4" i="13" s="1"/>
  <c r="B5" i="13" s="1"/>
  <c r="B15" i="27" a="1"/>
  <c r="B15" i="27" s="1"/>
  <c r="B8" i="3"/>
  <c r="B21" i="33" s="1"/>
  <c r="B51" i="33" l="1"/>
  <c r="B64" i="33"/>
  <c r="T42" i="34"/>
  <c r="T43" i="34" s="1"/>
  <c r="T44" i="34" s="1"/>
  <c r="T45" i="34" s="1"/>
  <c r="T46" i="34" s="1"/>
  <c r="U38" i="34"/>
  <c r="U39" i="34" s="1"/>
  <c r="J38" i="34"/>
  <c r="J39" i="34" s="1"/>
  <c r="J40" i="34" s="1"/>
  <c r="J41" i="34" s="1"/>
  <c r="K38" i="34"/>
  <c r="P38" i="34"/>
  <c r="I38" i="34"/>
  <c r="I39" i="34" s="1"/>
  <c r="I40" i="34" s="1"/>
  <c r="I41" i="34" s="1"/>
  <c r="L38" i="34"/>
  <c r="D53" i="34"/>
  <c r="D77" i="34" s="1"/>
  <c r="D43" i="34"/>
  <c r="B43" i="33"/>
  <c r="K32" i="34" s="1"/>
  <c r="B47" i="33"/>
  <c r="B56" i="33"/>
  <c r="B61" i="33" s="1"/>
  <c r="B6" i="13"/>
  <c r="D44" i="34" l="1"/>
  <c r="M43" i="34"/>
  <c r="B6" i="27"/>
  <c r="B59" i="33"/>
  <c r="U30" i="1"/>
  <c r="B62" i="33"/>
  <c r="B65" i="33" s="1"/>
  <c r="B49" i="33"/>
  <c r="U29" i="1" s="1"/>
  <c r="B52" i="33"/>
  <c r="B17" i="27" l="1"/>
  <c r="M44" i="34"/>
  <c r="D45" i="34"/>
  <c r="M45" i="34" s="1"/>
  <c r="B13" i="27" a="1"/>
  <c r="B13" i="27" s="1"/>
  <c r="D47" i="34"/>
  <c r="D48" i="34"/>
  <c r="N48" i="34" s="1"/>
  <c r="B31" i="27"/>
  <c r="B5" i="27"/>
  <c r="B14" i="27" a="1"/>
  <c r="B14" i="27" s="1"/>
  <c r="B23" i="27" s="1" a="1"/>
  <c r="B23" i="27" s="1"/>
  <c r="K33" i="34" s="1"/>
  <c r="K25" i="34"/>
  <c r="I12" i="49"/>
  <c r="B54" i="33"/>
  <c r="K28" i="34" s="1"/>
  <c r="K27" i="34"/>
  <c r="U27" i="1"/>
  <c r="K30" i="34"/>
  <c r="B8" i="27"/>
  <c r="B25" i="27" l="1" a="1"/>
  <c r="B25" i="27" s="1"/>
  <c r="K31" i="34" s="1"/>
  <c r="B16" i="27"/>
  <c r="B22" i="27" a="1"/>
  <c r="B22" i="27" s="1"/>
  <c r="B29" i="27" s="1"/>
  <c r="U31" i="1" s="1"/>
  <c r="D46" i="34"/>
  <c r="M46" i="34" s="1"/>
  <c r="M47" i="34" s="1"/>
  <c r="M48" i="34" s="1"/>
  <c r="M49" i="34" s="1"/>
  <c r="E50" i="34" s="1"/>
  <c r="S47" i="34"/>
  <c r="S48" i="34" s="1"/>
  <c r="S49" i="34" s="1"/>
  <c r="S50" i="34" s="1"/>
  <c r="S51" i="34" s="1"/>
  <c r="W47" i="34"/>
  <c r="W48" i="34" s="1"/>
  <c r="W49" i="34" s="1"/>
  <c r="W50" i="34" s="1"/>
  <c r="W51" i="34" s="1"/>
  <c r="T47" i="34"/>
  <c r="T48" i="34" s="1"/>
  <c r="T49" i="34" s="1"/>
  <c r="T50" i="34" s="1"/>
  <c r="T51" i="34" s="1"/>
  <c r="J42" i="34"/>
  <c r="J43" i="34" s="1"/>
  <c r="J44" i="34" s="1"/>
  <c r="J45" i="34" s="1"/>
  <c r="J46" i="34" s="1"/>
  <c r="J47" i="34" s="1"/>
  <c r="J48" i="34" s="1"/>
  <c r="J49" i="34" s="1"/>
  <c r="J50" i="34" s="1"/>
  <c r="J51" i="34" s="1"/>
  <c r="I42" i="34"/>
  <c r="I43" i="34" s="1"/>
  <c r="I44" i="34" s="1"/>
  <c r="I45" i="34" s="1"/>
  <c r="I46" i="34" s="1"/>
  <c r="I47" i="34" s="1"/>
  <c r="I48" i="34" s="1"/>
  <c r="I49" i="34" s="1"/>
  <c r="I50" i="34" s="1"/>
  <c r="I51" i="34" s="1"/>
  <c r="I52" i="34" s="1"/>
  <c r="I53" i="34" s="1"/>
  <c r="B7" i="27"/>
  <c r="U28" i="1"/>
  <c r="U34" i="1"/>
  <c r="I13" i="49"/>
  <c r="B9" i="13" a="1"/>
  <c r="B9" i="13" s="1"/>
  <c r="B10" i="13" s="1" a="1"/>
  <c r="B10" i="13" s="1"/>
  <c r="F48" i="21" s="1"/>
  <c r="U33" i="1" l="1"/>
  <c r="B24" i="27" a="1"/>
  <c r="B24" i="27" s="1"/>
  <c r="F63" i="26" s="1"/>
  <c r="K26" i="34"/>
  <c r="E49" i="34"/>
  <c r="N49" i="34" s="1"/>
  <c r="N50" i="34" s="1"/>
  <c r="M50" i="34"/>
  <c r="E51" i="34" s="1"/>
  <c r="F45" i="21"/>
  <c r="F43" i="21"/>
  <c r="F47" i="21"/>
  <c r="D39" i="34" l="1"/>
  <c r="Q39" i="34" s="1"/>
  <c r="Q40" i="34" s="1"/>
  <c r="B67" i="33"/>
  <c r="K34" i="34" s="1"/>
  <c r="K29" i="34"/>
  <c r="C94" i="34" s="1"/>
  <c r="D40" i="34"/>
  <c r="U40" i="34" s="1"/>
  <c r="U41" i="34" s="1"/>
  <c r="U42" i="34" s="1"/>
  <c r="U43" i="34" s="1"/>
  <c r="U44" i="34" s="1"/>
  <c r="U45" i="34" s="1"/>
  <c r="U46" i="34" s="1"/>
  <c r="U47" i="34" s="1"/>
  <c r="U48" i="34" s="1"/>
  <c r="U49" i="34" s="1"/>
  <c r="U50" i="34" s="1"/>
  <c r="U51" i="34" s="1"/>
  <c r="U52" i="34" s="1"/>
  <c r="U53" i="34" s="1"/>
  <c r="B17" i="34"/>
  <c r="B20" i="18" s="1"/>
  <c r="U32" i="1"/>
  <c r="N51" i="34"/>
  <c r="E52" i="34" s="1"/>
  <c r="M51" i="34"/>
  <c r="M52" i="34" s="1"/>
  <c r="M53" i="34" s="1"/>
  <c r="M54" i="34" s="1"/>
  <c r="M55" i="34" s="1"/>
  <c r="M56" i="34" s="1"/>
  <c r="M57" i="34" s="1"/>
  <c r="M58" i="34" s="1"/>
  <c r="M59" i="34" s="1"/>
  <c r="M60" i="34" s="1"/>
  <c r="M61" i="34" s="1"/>
  <c r="P39" i="34" l="1"/>
  <c r="P40" i="34" s="1"/>
  <c r="P41" i="34" s="1"/>
  <c r="P42" i="34" s="1"/>
  <c r="P43" i="34" s="1"/>
  <c r="P44" i="34" s="1"/>
  <c r="P45" i="34" s="1"/>
  <c r="P46" i="34" s="1"/>
  <c r="P47" i="34" s="1"/>
  <c r="P48" i="34" s="1"/>
  <c r="P49" i="34" s="1"/>
  <c r="P50" i="34" s="1"/>
  <c r="P51" i="34" s="1"/>
  <c r="P52" i="34" s="1"/>
  <c r="P53" i="34" s="1"/>
  <c r="K39" i="34"/>
  <c r="K40" i="34" s="1"/>
  <c r="K41" i="34" s="1"/>
  <c r="K42" i="34" s="1"/>
  <c r="K43" i="34" s="1"/>
  <c r="K44" i="34" s="1"/>
  <c r="K45" i="34" s="1"/>
  <c r="K46" i="34" s="1"/>
  <c r="K47" i="34" s="1"/>
  <c r="K48" i="34" s="1"/>
  <c r="K49" i="34" s="1"/>
  <c r="K50" i="34" s="1"/>
  <c r="K51" i="34" s="1"/>
  <c r="K52" i="34" s="1"/>
  <c r="K53" i="34" s="1"/>
  <c r="L39" i="34"/>
  <c r="L40" i="34" s="1"/>
  <c r="L41" i="34" s="1"/>
  <c r="L42" i="34" s="1"/>
  <c r="L43" i="34" s="1"/>
  <c r="L44" i="34" s="1"/>
  <c r="L45" i="34" s="1"/>
  <c r="L46" i="34" s="1"/>
  <c r="L47" i="34" s="1"/>
  <c r="L48" i="34" s="1"/>
  <c r="L49" i="34" s="1"/>
  <c r="L50" i="34" s="1"/>
  <c r="L51" i="34" s="1"/>
  <c r="L52" i="34" s="1"/>
  <c r="L53" i="34" s="1"/>
  <c r="V40" i="34"/>
  <c r="V41" i="34" s="1"/>
  <c r="V42" i="34" s="1"/>
  <c r="V43" i="34" s="1"/>
  <c r="V44" i="34" s="1"/>
  <c r="V45" i="34" s="1"/>
  <c r="V46" i="34" s="1"/>
  <c r="V47" i="34" s="1"/>
  <c r="V48" i="34" s="1"/>
  <c r="V49" i="34" s="1"/>
  <c r="V50" i="34" s="1"/>
  <c r="V51" i="34" s="1"/>
  <c r="V52" i="34" s="1"/>
  <c r="V53" i="34" s="1"/>
  <c r="B19" i="34"/>
  <c r="B21" i="34" s="1"/>
  <c r="B23" i="34" s="1"/>
  <c r="B9" i="18"/>
  <c r="E41" i="34"/>
  <c r="Q41" i="34" s="1"/>
  <c r="Q42" i="34" s="1"/>
  <c r="Q43" i="34" s="1"/>
  <c r="Q44" i="34" s="1"/>
  <c r="Q45" i="34" s="1"/>
  <c r="Q46" i="34" s="1"/>
  <c r="Q47" i="34" s="1"/>
  <c r="Q48" i="34" s="1"/>
  <c r="Q49" i="34" s="1"/>
  <c r="Q50" i="34" s="1"/>
  <c r="Q51" i="34" s="1"/>
  <c r="Q52" i="34" s="1"/>
  <c r="Q53" i="34" s="1"/>
  <c r="M62" i="34"/>
  <c r="M63" i="34" s="1"/>
  <c r="M64" i="34" s="1"/>
  <c r="M65" i="34" s="1"/>
  <c r="M66" i="34" s="1"/>
  <c r="M67" i="34" s="1"/>
  <c r="M68" i="34" s="1"/>
  <c r="M69" i="34" s="1"/>
  <c r="M70" i="34" s="1"/>
  <c r="M71" i="34" s="1"/>
  <c r="M72" i="34" s="1"/>
  <c r="M73" i="34" s="1"/>
  <c r="M74" i="34" s="1"/>
  <c r="M75" i="34" s="1"/>
  <c r="M76" i="34" s="1"/>
  <c r="M77" i="34" s="1"/>
  <c r="M78" i="34" s="1"/>
  <c r="W52" i="34"/>
  <c r="W53" i="34" s="1"/>
  <c r="T52" i="34"/>
  <c r="T53" i="34" s="1"/>
  <c r="J52" i="34"/>
  <c r="J53" i="34" s="1"/>
  <c r="S52" i="34"/>
  <c r="S53" i="34" s="1"/>
  <c r="N52" i="34"/>
  <c r="N53" i="34" s="1"/>
  <c r="N54" i="34" s="1"/>
  <c r="N55" i="34" s="1"/>
  <c r="N56" i="34" s="1"/>
  <c r="N57" i="34" s="1"/>
  <c r="N58" i="34" s="1"/>
  <c r="N59" i="34" s="1"/>
  <c r="N60" i="34" s="1"/>
  <c r="R41" i="34" l="1"/>
  <c r="R42" i="34" s="1"/>
  <c r="R43" i="34" s="1"/>
  <c r="R44" i="34" s="1"/>
  <c r="R45" i="34" s="1"/>
  <c r="R46" i="34" s="1"/>
  <c r="R47" i="34" s="1"/>
  <c r="R48" i="34" s="1"/>
  <c r="R49" i="34" s="1"/>
  <c r="R50" i="34" s="1"/>
  <c r="R51" i="34" s="1"/>
  <c r="R52" i="34" s="1"/>
  <c r="R53" i="34" s="1"/>
  <c r="M79" i="34"/>
  <c r="M80" i="34" s="1"/>
  <c r="M81" i="34" s="1"/>
  <c r="M82" i="34" s="1"/>
  <c r="M83" i="34" s="1"/>
  <c r="M84" i="34" s="1"/>
  <c r="M85" i="34" s="1"/>
  <c r="M86" i="34" s="1"/>
  <c r="M87" i="34" s="1"/>
  <c r="M88" i="34" s="1"/>
  <c r="M89" i="34" s="1"/>
  <c r="M90" i="34" s="1"/>
  <c r="M91" i="34" s="1"/>
  <c r="M92" i="34" s="1"/>
  <c r="M93" i="34" s="1"/>
  <c r="M94" i="34" s="1"/>
  <c r="N62" i="34"/>
  <c r="N63" i="34" s="1"/>
  <c r="N64" i="34" s="1"/>
  <c r="N65" i="34" s="1"/>
  <c r="N66" i="34" s="1"/>
  <c r="N67" i="34" s="1"/>
  <c r="N68" i="34" s="1"/>
  <c r="N69" i="34" s="1"/>
  <c r="N70" i="34" s="1"/>
  <c r="N71" i="34" s="1"/>
  <c r="N72" i="34" s="1"/>
  <c r="N73" i="34" s="1"/>
  <c r="N74" i="34" s="1"/>
  <c r="N75" i="34" s="1"/>
  <c r="N76" i="34" s="1"/>
  <c r="N61" i="34"/>
  <c r="E54" i="34"/>
  <c r="W54" i="34" l="1"/>
  <c r="S54" i="34"/>
  <c r="L54" i="34"/>
  <c r="U54" i="34"/>
  <c r="J54" i="34"/>
  <c r="T54" i="34"/>
  <c r="I54" i="34"/>
  <c r="V54" i="34"/>
  <c r="R54" i="34"/>
  <c r="K54" i="34"/>
  <c r="Q54" i="34"/>
  <c r="P54" i="34"/>
  <c r="N79" i="34"/>
  <c r="N80" i="34" s="1"/>
  <c r="N81" i="34" s="1"/>
  <c r="N82" i="34" s="1"/>
  <c r="N83" i="34" s="1"/>
  <c r="N84" i="34" s="1"/>
  <c r="N85" i="34" s="1"/>
  <c r="N86" i="34" s="1"/>
  <c r="N87" i="34" s="1"/>
  <c r="N88" i="34" s="1"/>
  <c r="N89" i="34" s="1"/>
  <c r="N90" i="34" s="1"/>
  <c r="N91" i="34" s="1"/>
  <c r="N92" i="34" s="1"/>
  <c r="N93" i="34" s="1"/>
  <c r="N94" i="34" s="1"/>
  <c r="N77" i="34"/>
  <c r="N78" i="34" s="1"/>
  <c r="E55" i="34" l="1"/>
  <c r="W55" i="34" l="1"/>
  <c r="W56" i="34" s="1"/>
  <c r="S55" i="34"/>
  <c r="S56" i="34" s="1"/>
  <c r="L55" i="34"/>
  <c r="Q55" i="34"/>
  <c r="Q56" i="34" s="1"/>
  <c r="P55" i="34"/>
  <c r="P56" i="34" s="1"/>
  <c r="V55" i="34"/>
  <c r="V56" i="34" s="1"/>
  <c r="R55" i="34"/>
  <c r="R56" i="34" s="1"/>
  <c r="K55" i="34"/>
  <c r="U55" i="34"/>
  <c r="U56" i="34" s="1"/>
  <c r="J55" i="34"/>
  <c r="T55" i="34"/>
  <c r="T56" i="34" s="1"/>
  <c r="I55" i="34"/>
  <c r="E56" i="34" s="1"/>
  <c r="L56" i="34" l="1"/>
  <c r="L57" i="34" s="1"/>
  <c r="L58" i="34" s="1"/>
  <c r="L59" i="34" s="1"/>
  <c r="L60" i="34" s="1"/>
  <c r="L61" i="34" s="1"/>
  <c r="J56" i="34"/>
  <c r="J57" i="34" s="1"/>
  <c r="J58" i="34" s="1"/>
  <c r="J59" i="34" s="1"/>
  <c r="J60" i="34" s="1"/>
  <c r="J62" i="34" s="1"/>
  <c r="J63" i="34" s="1"/>
  <c r="J64" i="34" s="1"/>
  <c r="J65" i="34" s="1"/>
  <c r="J66" i="34" s="1"/>
  <c r="J67" i="34" s="1"/>
  <c r="J68" i="34" s="1"/>
  <c r="J69" i="34" s="1"/>
  <c r="J70" i="34" s="1"/>
  <c r="J71" i="34" s="1"/>
  <c r="J72" i="34" s="1"/>
  <c r="J73" i="34" s="1"/>
  <c r="J74" i="34" s="1"/>
  <c r="J75" i="34" s="1"/>
  <c r="J76" i="34" s="1"/>
  <c r="I56" i="34"/>
  <c r="I57" i="34" s="1"/>
  <c r="I58" i="34" s="1"/>
  <c r="I59" i="34" s="1"/>
  <c r="I60" i="34" s="1"/>
  <c r="K56" i="34"/>
  <c r="K57" i="34" s="1"/>
  <c r="K58" i="34" s="1"/>
  <c r="K59" i="34" s="1"/>
  <c r="K60" i="34" s="1"/>
  <c r="K61" i="34" s="1"/>
  <c r="F57" i="34"/>
  <c r="I62" i="34" l="1"/>
  <c r="I63" i="34" s="1"/>
  <c r="I64" i="34" s="1"/>
  <c r="I65" i="34" s="1"/>
  <c r="I66" i="34" s="1"/>
  <c r="I67" i="34" s="1"/>
  <c r="I68" i="34" s="1"/>
  <c r="I69" i="34" s="1"/>
  <c r="I70" i="34" s="1"/>
  <c r="I71" i="34" s="1"/>
  <c r="I72" i="34" s="1"/>
  <c r="I73" i="34" s="1"/>
  <c r="I74" i="34" s="1"/>
  <c r="I75" i="34" s="1"/>
  <c r="I76" i="34" s="1"/>
  <c r="I77" i="34" s="1"/>
  <c r="I78" i="34" s="1"/>
  <c r="I61" i="34"/>
  <c r="G58" i="34"/>
  <c r="W57" i="34"/>
  <c r="W58" i="34" s="1"/>
  <c r="S57" i="34"/>
  <c r="S58" i="34" s="1"/>
  <c r="V57" i="34"/>
  <c r="R57" i="34"/>
  <c r="U57" i="34"/>
  <c r="Q57" i="34"/>
  <c r="T57" i="34"/>
  <c r="T58" i="34" s="1"/>
  <c r="F59" i="34" s="1"/>
  <c r="P57" i="34"/>
  <c r="P58" i="34" s="1"/>
  <c r="E61" i="34"/>
  <c r="F62" i="34" s="1"/>
  <c r="L62" i="34"/>
  <c r="J61" i="34"/>
  <c r="K62" i="34"/>
  <c r="K63" i="34" s="1"/>
  <c r="K64" i="34" s="1"/>
  <c r="K65" i="34" s="1"/>
  <c r="J79" i="34"/>
  <c r="J80" i="34" s="1"/>
  <c r="J81" i="34" s="1"/>
  <c r="J82" i="34" s="1"/>
  <c r="J83" i="34" s="1"/>
  <c r="J84" i="34" s="1"/>
  <c r="J85" i="34" s="1"/>
  <c r="J86" i="34" s="1"/>
  <c r="J87" i="34" s="1"/>
  <c r="J88" i="34" s="1"/>
  <c r="J89" i="34" s="1"/>
  <c r="J90" i="34" s="1"/>
  <c r="J91" i="34" s="1"/>
  <c r="J92" i="34" s="1"/>
  <c r="J93" i="34" s="1"/>
  <c r="J94" i="34" s="1"/>
  <c r="J77" i="34"/>
  <c r="J78" i="34" s="1"/>
  <c r="I79" i="34" l="1"/>
  <c r="I80" i="34" s="1"/>
  <c r="I81" i="34" s="1"/>
  <c r="I82" i="34" s="1"/>
  <c r="I83" i="34" s="1"/>
  <c r="I84" i="34" s="1"/>
  <c r="I85" i="34" s="1"/>
  <c r="I86" i="34" s="1"/>
  <c r="I87" i="34" s="1"/>
  <c r="I88" i="34" s="1"/>
  <c r="I89" i="34" s="1"/>
  <c r="I90" i="34" s="1"/>
  <c r="I91" i="34" s="1"/>
  <c r="I92" i="34" s="1"/>
  <c r="I93" i="34" s="1"/>
  <c r="I94" i="34" s="1"/>
  <c r="V58" i="34"/>
  <c r="V59" i="34" s="1"/>
  <c r="R58" i="34"/>
  <c r="R59" i="34" s="1"/>
  <c r="Q58" i="34"/>
  <c r="Q59" i="34" s="1"/>
  <c r="U58" i="34"/>
  <c r="U59" i="34" s="1"/>
  <c r="G60" i="34"/>
  <c r="W59" i="34"/>
  <c r="W60" i="34" s="1"/>
  <c r="W62" i="34" s="1"/>
  <c r="W63" i="34" s="1"/>
  <c r="W64" i="34" s="1"/>
  <c r="W65" i="34" s="1"/>
  <c r="F66" i="34" s="1"/>
  <c r="K66" i="34" s="1"/>
  <c r="S59" i="34"/>
  <c r="S60" i="34" s="1"/>
  <c r="T59" i="34"/>
  <c r="T60" i="34" s="1"/>
  <c r="T62" i="34" s="1"/>
  <c r="T63" i="34" s="1"/>
  <c r="T64" i="34" s="1"/>
  <c r="T65" i="34" s="1"/>
  <c r="T66" i="34" s="1"/>
  <c r="T67" i="34" s="1"/>
  <c r="T68" i="34" s="1"/>
  <c r="T69" i="34" s="1"/>
  <c r="T70" i="34" s="1"/>
  <c r="T71" i="34" s="1"/>
  <c r="T72" i="34" s="1"/>
  <c r="T73" i="34" s="1"/>
  <c r="T74" i="34" s="1"/>
  <c r="T75" i="34" s="1"/>
  <c r="T76" i="34" s="1"/>
  <c r="P59" i="34"/>
  <c r="P60" i="34" s="1"/>
  <c r="G63" i="34"/>
  <c r="B44" i="42" l="1"/>
  <c r="B45" i="42"/>
  <c r="T61" i="34"/>
  <c r="W61" i="34"/>
  <c r="P61" i="34"/>
  <c r="P62" i="34"/>
  <c r="P63" i="34" s="1"/>
  <c r="P64" i="34" s="1"/>
  <c r="P65" i="34" s="1"/>
  <c r="P66" i="34" s="1"/>
  <c r="P67" i="34" s="1"/>
  <c r="S62" i="34"/>
  <c r="S63" i="34" s="1"/>
  <c r="S64" i="34" s="1"/>
  <c r="S65" i="34" s="1"/>
  <c r="S66" i="34" s="1"/>
  <c r="S67" i="34" s="1"/>
  <c r="S61" i="34"/>
  <c r="O63" i="34"/>
  <c r="L63" i="34"/>
  <c r="V60" i="34"/>
  <c r="R60" i="34"/>
  <c r="U60" i="34"/>
  <c r="Q60" i="34"/>
  <c r="T79" i="34"/>
  <c r="T80" i="34" s="1"/>
  <c r="T81" i="34" s="1"/>
  <c r="T82" i="34" s="1"/>
  <c r="T83" i="34" s="1"/>
  <c r="T84" i="34" s="1"/>
  <c r="T85" i="34" s="1"/>
  <c r="T86" i="34" s="1"/>
  <c r="T87" i="34" s="1"/>
  <c r="T88" i="34" s="1"/>
  <c r="T89" i="34" s="1"/>
  <c r="T90" i="34" s="1"/>
  <c r="T91" i="34" s="1"/>
  <c r="T92" i="34" s="1"/>
  <c r="T93" i="34" s="1"/>
  <c r="T94" i="34" s="1"/>
  <c r="T77" i="34"/>
  <c r="T78" i="34" s="1"/>
  <c r="W66" i="34"/>
  <c r="W67" i="34" s="1"/>
  <c r="W68" i="34" s="1"/>
  <c r="W69" i="34" s="1"/>
  <c r="W70" i="34" s="1"/>
  <c r="W71" i="34" s="1"/>
  <c r="W72" i="34" s="1"/>
  <c r="W73" i="34" s="1"/>
  <c r="W74" i="34" s="1"/>
  <c r="W75" i="34" s="1"/>
  <c r="W76" i="34" s="1"/>
  <c r="K67" i="34"/>
  <c r="K68" i="34" s="1"/>
  <c r="K69" i="34" s="1"/>
  <c r="R61" i="34" l="1"/>
  <c r="R62" i="34"/>
  <c r="R63" i="34" s="1"/>
  <c r="R64" i="34" s="1"/>
  <c r="R65" i="34" s="1"/>
  <c r="R66" i="34" s="1"/>
  <c r="R67" i="34" s="1"/>
  <c r="V62" i="34"/>
  <c r="V63" i="34" s="1"/>
  <c r="V64" i="34" s="1"/>
  <c r="V65" i="34" s="1"/>
  <c r="V66" i="34" s="1"/>
  <c r="V67" i="34" s="1"/>
  <c r="V68" i="34" s="1"/>
  <c r="V69" i="34" s="1"/>
  <c r="V70" i="34" s="1"/>
  <c r="V71" i="34" s="1"/>
  <c r="V72" i="34" s="1"/>
  <c r="V73" i="34" s="1"/>
  <c r="V74" i="34" s="1"/>
  <c r="V75" i="34" s="1"/>
  <c r="V76" i="34" s="1"/>
  <c r="V61" i="34"/>
  <c r="Q61" i="34"/>
  <c r="Q62" i="34"/>
  <c r="Q63" i="34" s="1"/>
  <c r="Q64" i="34" s="1"/>
  <c r="Q65" i="34" s="1"/>
  <c r="Q66" i="34" s="1"/>
  <c r="Q67" i="34" s="1"/>
  <c r="U61" i="34"/>
  <c r="U62" i="34"/>
  <c r="U63" i="34" s="1"/>
  <c r="U64" i="34" s="1"/>
  <c r="U65" i="34" s="1"/>
  <c r="U66" i="34" s="1"/>
  <c r="U67" i="34" s="1"/>
  <c r="U68" i="34" s="1"/>
  <c r="U69" i="34" s="1"/>
  <c r="U70" i="34" s="1"/>
  <c r="U71" i="34" s="1"/>
  <c r="U72" i="34" s="1"/>
  <c r="U73" i="34" s="1"/>
  <c r="U74" i="34" s="1"/>
  <c r="U75" i="34" s="1"/>
  <c r="U76" i="34" s="1"/>
  <c r="J12" i="49"/>
  <c r="B4" i="49"/>
  <c r="W79" i="34"/>
  <c r="W80" i="34" s="1"/>
  <c r="W81" i="34" s="1"/>
  <c r="W82" i="34" s="1"/>
  <c r="W83" i="34" s="1"/>
  <c r="W84" i="34" s="1"/>
  <c r="W85" i="34" s="1"/>
  <c r="W86" i="34" s="1"/>
  <c r="W87" i="34" s="1"/>
  <c r="W88" i="34" s="1"/>
  <c r="W89" i="34" s="1"/>
  <c r="W90" i="34" s="1"/>
  <c r="W91" i="34" s="1"/>
  <c r="W92" i="34" s="1"/>
  <c r="W93" i="34" s="1"/>
  <c r="W94" i="34" s="1"/>
  <c r="V30" i="1" s="1"/>
  <c r="W77" i="34"/>
  <c r="W78" i="34" s="1"/>
  <c r="V27" i="1"/>
  <c r="F70" i="34"/>
  <c r="L64" i="34"/>
  <c r="G64" i="34"/>
  <c r="O64" i="34" s="1"/>
  <c r="U79" i="34" l="1"/>
  <c r="U80" i="34" s="1"/>
  <c r="U81" i="34" s="1"/>
  <c r="U82" i="34" s="1"/>
  <c r="U83" i="34" s="1"/>
  <c r="U84" i="34" s="1"/>
  <c r="U85" i="34" s="1"/>
  <c r="U86" i="34" s="1"/>
  <c r="U87" i="34" s="1"/>
  <c r="U88" i="34" s="1"/>
  <c r="U89" i="34" s="1"/>
  <c r="U90" i="34" s="1"/>
  <c r="U91" i="34" s="1"/>
  <c r="U92" i="34" s="1"/>
  <c r="U93" i="34" s="1"/>
  <c r="U77" i="34"/>
  <c r="U78" i="34" s="1"/>
  <c r="V79" i="34"/>
  <c r="V80" i="34" s="1"/>
  <c r="V81" i="34" s="1"/>
  <c r="V82" i="34" s="1"/>
  <c r="V83" i="34" s="1"/>
  <c r="V84" i="34" s="1"/>
  <c r="V85" i="34" s="1"/>
  <c r="V86" i="34" s="1"/>
  <c r="V87" i="34" s="1"/>
  <c r="V88" i="34" s="1"/>
  <c r="V89" i="34" s="1"/>
  <c r="V90" i="34" s="1"/>
  <c r="V91" i="34" s="1"/>
  <c r="V92" i="34" s="1"/>
  <c r="V93" i="34" s="1"/>
  <c r="V94" i="34" s="1"/>
  <c r="V77" i="34"/>
  <c r="V78" i="34" s="1"/>
  <c r="F72" i="34"/>
  <c r="K70" i="34"/>
  <c r="K71" i="34" s="1"/>
  <c r="B7" i="49"/>
  <c r="F65" i="34"/>
  <c r="L65" i="34"/>
  <c r="L66" i="34" s="1"/>
  <c r="L67" i="34" s="1"/>
  <c r="L68" i="34" s="1"/>
  <c r="V29" i="1" l="1"/>
  <c r="B6" i="49"/>
  <c r="O65" i="34"/>
  <c r="O66" i="34" s="1"/>
  <c r="K72" i="34"/>
  <c r="K73" i="34" s="1"/>
  <c r="K74" i="34" s="1"/>
  <c r="K75" i="34" s="1"/>
  <c r="K76" i="34" s="1"/>
  <c r="K79" i="34" s="1"/>
  <c r="K80" i="34" s="1"/>
  <c r="K81" i="34" s="1"/>
  <c r="K82" i="34" s="1"/>
  <c r="U94" i="34"/>
  <c r="K77" i="34" l="1"/>
  <c r="E78" i="34" s="1"/>
  <c r="G67" i="34"/>
  <c r="H68" i="34" s="1"/>
  <c r="O67" i="34"/>
  <c r="O68" i="34" s="1"/>
  <c r="G69" i="34" s="1"/>
  <c r="B5" i="49"/>
  <c r="J13" i="49"/>
  <c r="V28" i="1"/>
  <c r="K78" i="34" l="1"/>
  <c r="O69" i="34"/>
  <c r="O70" i="34" s="1"/>
  <c r="G71" i="34" s="1"/>
  <c r="L69" i="34"/>
  <c r="L70" i="34" s="1"/>
  <c r="R68" i="34"/>
  <c r="R69" i="34" s="1"/>
  <c r="R70" i="34" s="1"/>
  <c r="Q68" i="34"/>
  <c r="Q69" i="34" s="1"/>
  <c r="Q70" i="34" s="1"/>
  <c r="P68" i="34"/>
  <c r="P69" i="34" s="1"/>
  <c r="P70" i="34" s="1"/>
  <c r="S68" i="34"/>
  <c r="S69" i="34" s="1"/>
  <c r="S70" i="34" s="1"/>
  <c r="P71" i="34" l="1"/>
  <c r="P72" i="34" s="1"/>
  <c r="G73" i="34" s="1"/>
  <c r="Q71" i="34"/>
  <c r="Q72" i="34" s="1"/>
  <c r="S71" i="34"/>
  <c r="S72" i="34" s="1"/>
  <c r="L71" i="34"/>
  <c r="L72" i="34" s="1"/>
  <c r="L73" i="34" s="1"/>
  <c r="L74" i="34" s="1"/>
  <c r="L75" i="34" s="1"/>
  <c r="L76" i="34" s="1"/>
  <c r="L77" i="34" s="1"/>
  <c r="L78" i="34" s="1"/>
  <c r="F79" i="34" s="1"/>
  <c r="O71" i="34"/>
  <c r="O72" i="34" s="1"/>
  <c r="O73" i="34" s="1"/>
  <c r="O74" i="34" s="1"/>
  <c r="O75" i="34" s="1"/>
  <c r="O76" i="34" s="1"/>
  <c r="O77" i="34" s="1"/>
  <c r="O78" i="34" s="1"/>
  <c r="R71" i="34"/>
  <c r="R72" i="34" s="1"/>
  <c r="O79" i="34" l="1"/>
  <c r="H74" i="34"/>
  <c r="Q73" i="34"/>
  <c r="P73" i="34"/>
  <c r="P74" i="34" s="1"/>
  <c r="G75" i="34" s="1"/>
  <c r="S73" i="34"/>
  <c r="S74" i="34" s="1"/>
  <c r="R73" i="34"/>
  <c r="F82" i="34"/>
  <c r="L79" i="34"/>
  <c r="G80" i="34" s="1"/>
  <c r="H76" i="34" l="1"/>
  <c r="S75" i="34"/>
  <c r="S76" i="34" s="1"/>
  <c r="P75" i="34"/>
  <c r="P76" i="34" s="1"/>
  <c r="G81" i="34"/>
  <c r="O80" i="34"/>
  <c r="L80" i="34"/>
  <c r="R74" i="34"/>
  <c r="R75" i="34" s="1"/>
  <c r="Q74" i="34"/>
  <c r="Q75" i="34" s="1"/>
  <c r="O81" i="34" l="1"/>
  <c r="O82" i="34" s="1"/>
  <c r="R76" i="34"/>
  <c r="R77" i="34" s="1"/>
  <c r="R78" i="34" s="1"/>
  <c r="Q76" i="34"/>
  <c r="Q77" i="34" s="1"/>
  <c r="Q78" i="34" s="1"/>
  <c r="P79" i="34"/>
  <c r="P80" i="34" s="1"/>
  <c r="P81" i="34" s="1"/>
  <c r="P82" i="34" s="1"/>
  <c r="P83" i="34" s="1"/>
  <c r="P77" i="34"/>
  <c r="P78" i="34" s="1"/>
  <c r="S79" i="34"/>
  <c r="S80" i="34" s="1"/>
  <c r="S81" i="34" s="1"/>
  <c r="S82" i="34" s="1"/>
  <c r="F83" i="34" s="1"/>
  <c r="S77" i="34"/>
  <c r="S78" i="34" s="1"/>
  <c r="L81" i="34"/>
  <c r="Q79" i="34" l="1"/>
  <c r="Q80" i="34" s="1"/>
  <c r="Q81" i="34" s="1"/>
  <c r="Q82" i="34" s="1"/>
  <c r="Q83" i="34" s="1"/>
  <c r="R79" i="34"/>
  <c r="R80" i="34" s="1"/>
  <c r="R81" i="34" s="1"/>
  <c r="R82" i="34" s="1"/>
  <c r="R83" i="34" s="1"/>
  <c r="K83" i="34"/>
  <c r="K84" i="34" s="1"/>
  <c r="K85" i="34" s="1"/>
  <c r="S83" i="34"/>
  <c r="L82" i="34"/>
  <c r="L83" i="34" s="1"/>
  <c r="L84" i="34" s="1"/>
  <c r="O83" i="34"/>
  <c r="G84" i="34" s="1"/>
  <c r="G85" i="34" l="1"/>
  <c r="P84" i="34"/>
  <c r="R84" i="34"/>
  <c r="S84" i="34"/>
  <c r="Q84" i="34"/>
  <c r="O84" i="34"/>
  <c r="S85" i="34" l="1"/>
  <c r="L85" i="34"/>
  <c r="P85" i="34"/>
  <c r="R85" i="34"/>
  <c r="Q85" i="34"/>
  <c r="O85" i="34"/>
  <c r="O86" i="34" s="1"/>
  <c r="R86" i="34" l="1"/>
  <c r="F86" i="34"/>
  <c r="K86" i="34" s="1"/>
  <c r="P86" i="34"/>
  <c r="Q86" i="34"/>
  <c r="L86" i="34"/>
  <c r="O87" i="34"/>
  <c r="O88" i="34" s="1"/>
  <c r="O89" i="34" s="1"/>
  <c r="O90" i="34" s="1"/>
  <c r="O91" i="34" s="1"/>
  <c r="O92" i="34" s="1"/>
  <c r="O93" i="34" s="1"/>
  <c r="O94" i="34" s="1"/>
  <c r="G87" i="34" l="1"/>
  <c r="F88" i="34"/>
  <c r="S86" i="34"/>
  <c r="Q87" i="34" l="1"/>
  <c r="Q88" i="34" s="1"/>
  <c r="L87" i="34"/>
  <c r="L88" i="34" s="1"/>
  <c r="R87" i="34"/>
  <c r="R88" i="34" s="1"/>
  <c r="P87" i="34"/>
  <c r="P88" i="34" s="1"/>
  <c r="G89" i="34" s="1"/>
  <c r="S87" i="34"/>
  <c r="S88" i="34" s="1"/>
  <c r="K87" i="34"/>
  <c r="K88" i="34" s="1"/>
  <c r="S89" i="34" l="1"/>
  <c r="S90" i="34" s="1"/>
  <c r="Q89" i="34"/>
  <c r="R89" i="34"/>
  <c r="P89" i="34"/>
  <c r="P90" i="34" s="1"/>
  <c r="G91" i="34" s="1"/>
  <c r="H90" i="34"/>
  <c r="L89" i="34"/>
  <c r="L90" i="34" s="1"/>
  <c r="L91" i="34" s="1"/>
  <c r="L92" i="34" s="1"/>
  <c r="L93" i="34" s="1"/>
  <c r="L94" i="34" s="1"/>
  <c r="K89" i="34"/>
  <c r="K90" i="34" s="1"/>
  <c r="K91" i="34" s="1"/>
  <c r="K92" i="34" s="1"/>
  <c r="K93" i="34" s="1"/>
  <c r="K94" i="34" s="1"/>
  <c r="B101" i="34" l="1"/>
  <c r="B102" i="34" s="1"/>
  <c r="B103" i="34" s="1"/>
  <c r="B104" i="34" s="1"/>
  <c r="B105" i="34"/>
  <c r="R90" i="34"/>
  <c r="R91" i="34" s="1"/>
  <c r="Q90" i="34"/>
  <c r="Q91" i="34" s="1"/>
  <c r="H92" i="34"/>
  <c r="S91" i="34"/>
  <c r="S92" i="34" s="1"/>
  <c r="S93" i="34" s="1"/>
  <c r="S94" i="34" s="1"/>
  <c r="V34" i="1" s="1"/>
  <c r="P91" i="34"/>
  <c r="P92" i="34" s="1"/>
  <c r="P93" i="34" s="1"/>
  <c r="P94" i="34" s="1"/>
  <c r="V31" i="1" s="1"/>
  <c r="B5" i="37"/>
  <c r="B112" i="34"/>
  <c r="B113" i="34" s="1"/>
  <c r="B114" i="34" s="1"/>
  <c r="E44" i="16"/>
  <c r="C45" i="16" s="1"/>
  <c r="D46" i="16" s="1"/>
  <c r="C47" i="16" s="1"/>
  <c r="D48" i="16" s="1"/>
  <c r="C50" i="16" s="1"/>
  <c r="B13" i="37"/>
  <c r="B106" i="34"/>
  <c r="B107" i="34" s="1"/>
  <c r="C29" i="21"/>
  <c r="C26" i="21"/>
  <c r="E19" i="16"/>
  <c r="C20" i="16" s="1"/>
  <c r="D21" i="16" s="1"/>
  <c r="C22" i="16" s="1"/>
  <c r="D23" i="16" s="1"/>
  <c r="C25" i="16" s="1"/>
  <c r="B35" i="42" s="1"/>
  <c r="B3" i="18" l="1"/>
  <c r="B4" i="18" s="1"/>
  <c r="B5" i="18" s="1"/>
  <c r="B6" i="18" s="1"/>
  <c r="B14" i="18"/>
  <c r="B15" i="18" s="1"/>
  <c r="B16" i="18" s="1"/>
  <c r="B17" i="18" s="1"/>
  <c r="E10" i="16"/>
  <c r="E11" i="16" s="1"/>
  <c r="E12" i="16" s="1"/>
  <c r="E35" i="16"/>
  <c r="E36" i="16" s="1"/>
  <c r="E37" i="16" s="1"/>
  <c r="R92" i="34"/>
  <c r="R93" i="34" s="1"/>
  <c r="Q92" i="34"/>
  <c r="Q93" i="34" s="1"/>
  <c r="B9" i="35"/>
  <c r="B5" i="35"/>
  <c r="A35" i="21"/>
  <c r="A24" i="21"/>
  <c r="C52" i="16"/>
  <c r="C51" i="16"/>
  <c r="U14" i="1"/>
  <c r="B3" i="44"/>
  <c r="B18" i="18" l="1"/>
  <c r="B19" i="18" s="1"/>
  <c r="B7" i="18"/>
  <c r="B8" i="18" s="1"/>
  <c r="E38" i="16"/>
  <c r="E39" i="16" s="1"/>
  <c r="E40" i="16" s="1"/>
  <c r="E41" i="16" s="1"/>
  <c r="E13" i="16"/>
  <c r="E14" i="16" s="1"/>
  <c r="E15" i="16" s="1"/>
  <c r="E16" i="16" s="1"/>
  <c r="Q94" i="34"/>
  <c r="V32" i="1" s="1"/>
  <c r="R94" i="34"/>
  <c r="V33" i="1" s="1"/>
  <c r="B20" i="35"/>
  <c r="B3" i="19" a="1"/>
  <c r="B3" i="19" s="1"/>
  <c r="B28" i="35" s="1"/>
  <c r="B5" i="19" a="1"/>
  <c r="B5" i="19" s="1"/>
  <c r="B22" i="35" s="1"/>
  <c r="B4" i="19" a="1"/>
  <c r="B4" i="19" s="1"/>
  <c r="B11" i="35" s="1"/>
  <c r="B41" i="42" a="1"/>
  <c r="B41" i="42" s="1"/>
  <c r="B40" i="42" a="1"/>
  <c r="B40" i="42" s="1"/>
  <c r="B10" i="18" l="1"/>
  <c r="B108" i="34" s="1"/>
  <c r="B111" i="34" s="1"/>
  <c r="B12" i="37" s="1"/>
  <c r="B21" i="18"/>
  <c r="B109" i="34" s="1"/>
  <c r="B43" i="42" a="1"/>
  <c r="B43" i="42" s="1"/>
  <c r="B42" i="42"/>
  <c r="B46" i="42" s="1" a="1"/>
  <c r="B46" i="42" s="1"/>
  <c r="V43" i="1" s="1"/>
  <c r="B3" i="29" a="1"/>
  <c r="B3" i="29" s="1"/>
  <c r="B38" i="42" s="1"/>
  <c r="B3" i="22" s="1"/>
  <c r="B4" i="22" s="1"/>
  <c r="B4" i="29" a="1"/>
  <c r="B4" i="29" s="1"/>
  <c r="B33" i="42" s="1"/>
  <c r="U12" i="1" l="1"/>
  <c r="B6" i="20" a="1"/>
  <c r="B6" i="20" s="1"/>
  <c r="B9" i="20" s="1"/>
  <c r="B29" i="35" s="1" a="1"/>
  <c r="B29" i="35" s="1"/>
  <c r="B3" i="25" s="1"/>
  <c r="B4" i="25"/>
  <c r="B10" i="37"/>
  <c r="B110" i="34"/>
  <c r="B11" i="37" s="1"/>
  <c r="B5" i="22"/>
  <c r="B6" i="22" s="1"/>
  <c r="B7" i="22" s="1"/>
  <c r="B7" i="13" l="1"/>
  <c r="B8" i="13" s="1"/>
  <c r="B6" i="37" s="1"/>
  <c r="B14" i="26" s="1"/>
  <c r="B9" i="25"/>
  <c r="B11" i="25" s="1"/>
  <c r="B3" i="15" s="1"/>
  <c r="B6" i="25"/>
  <c r="B31" i="37" s="1"/>
  <c r="B7" i="25"/>
  <c r="B32" i="42"/>
  <c r="B13" i="13" l="1"/>
  <c r="B4" i="37" s="1"/>
  <c r="B16" i="37"/>
  <c r="B17" i="37" s="1"/>
  <c r="B18" i="37" s="1"/>
  <c r="B19" i="37" s="1"/>
  <c r="B20" i="37" s="1"/>
  <c r="B22" i="37" s="1"/>
  <c r="B12" i="35"/>
  <c r="B13" i="35" s="1" a="1"/>
  <c r="B13" i="35" s="1"/>
  <c r="B14" i="35" s="1" a="1"/>
  <c r="B14" i="35" s="1"/>
  <c r="U15" i="1"/>
  <c r="B32" i="37"/>
  <c r="B33" i="37" s="1"/>
  <c r="B48" i="42"/>
  <c r="B21" i="37" l="1"/>
  <c r="B23" i="37" s="1"/>
  <c r="B24" i="37" s="1"/>
  <c r="U16" i="1"/>
  <c r="B34" i="37"/>
  <c r="B35" i="37" s="1"/>
  <c r="B36" i="37" s="1"/>
  <c r="B37" i="37" s="1"/>
  <c r="B39" i="37" s="1"/>
  <c r="B23" i="35"/>
  <c r="D31" i="21"/>
  <c r="D28" i="21"/>
  <c r="C33" i="21"/>
  <c r="B3" i="38"/>
  <c r="B4" i="46" s="1"/>
  <c r="D27" i="21"/>
  <c r="C34" i="21"/>
  <c r="D30" i="21"/>
  <c r="B30" i="35"/>
  <c r="B3" i="48" s="1"/>
  <c r="C4" i="48" s="1"/>
  <c r="F45" i="26" l="1"/>
  <c r="D45" i="21"/>
  <c r="B45" i="21"/>
  <c r="B38" i="37"/>
  <c r="B40" i="37" s="1"/>
  <c r="B41" i="37" s="1"/>
  <c r="C5" i="48"/>
  <c r="B11" i="48" s="1"/>
  <c r="C16" i="48" s="1"/>
  <c r="H50" i="26"/>
  <c r="D43" i="21"/>
  <c r="H35" i="26"/>
  <c r="B48" i="21"/>
  <c r="F28" i="26"/>
  <c r="F24" i="26"/>
  <c r="B4" i="38"/>
  <c r="B6" i="47" s="1" a="1"/>
  <c r="B6" i="47" s="1"/>
  <c r="C39" i="21"/>
  <c r="C38" i="21"/>
  <c r="H51" i="26"/>
  <c r="B26" i="37" a="1"/>
  <c r="B26" i="37" s="1"/>
  <c r="B28" i="37" s="1"/>
  <c r="D44" i="21" s="1"/>
  <c r="B3" i="46" a="1"/>
  <c r="B3" i="46" s="1"/>
  <c r="B43" i="21"/>
  <c r="F25" i="26"/>
  <c r="F46" i="26"/>
  <c r="F27" i="26"/>
  <c r="D48" i="21"/>
  <c r="H34" i="26"/>
  <c r="B7" i="48" l="1"/>
  <c r="C9" i="48" s="1" a="1"/>
  <c r="C9" i="48" s="1"/>
  <c r="C14" i="48"/>
  <c r="C12" i="48"/>
  <c r="C15" i="48"/>
  <c r="B42" i="37"/>
  <c r="C49" i="21" s="1"/>
  <c r="D49" i="21" s="1"/>
  <c r="C13" i="48"/>
  <c r="C17" i="48" s="1"/>
  <c r="B7" i="45" a="1"/>
  <c r="B7" i="45" s="1"/>
  <c r="D46" i="21"/>
  <c r="D47" i="21"/>
  <c r="B5" i="45" a="1"/>
  <c r="B5" i="45" s="1"/>
  <c r="B55" i="21" a="1"/>
  <c r="B55" i="21" s="1"/>
  <c r="F58" i="21" s="1"/>
  <c r="N18" i="1"/>
  <c r="B8" i="45"/>
  <c r="B9" i="45"/>
  <c r="B10" i="45"/>
  <c r="B11" i="45" s="1" a="1"/>
  <c r="B11" i="45" s="1"/>
  <c r="F29" i="26"/>
  <c r="F30" i="26"/>
  <c r="F32" i="26"/>
  <c r="F37" i="26" s="1"/>
  <c r="F40" i="26" s="1"/>
  <c r="F48" i="26"/>
  <c r="F53" i="26" s="1"/>
  <c r="F56" i="26" s="1"/>
  <c r="B6" i="45" a="1"/>
  <c r="B6" i="45" s="1"/>
  <c r="B5" i="47" a="1"/>
  <c r="B5" i="47" s="1"/>
  <c r="B4" i="47" a="1"/>
  <c r="B4" i="47" s="1"/>
  <c r="B3" i="47" a="1"/>
  <c r="B3" i="47" s="1"/>
  <c r="B14" i="45" l="1"/>
  <c r="N10" i="1" s="1"/>
  <c r="C8" i="48"/>
  <c r="C18" i="48"/>
  <c r="C32" i="48" s="1"/>
  <c r="C51" i="21"/>
  <c r="D51" i="21" s="1"/>
  <c r="C50" i="21"/>
  <c r="D50" i="21" s="1"/>
  <c r="G58" i="21"/>
  <c r="B58" i="21"/>
  <c r="B3" i="37" s="1" a="1"/>
  <c r="B3" i="37" s="1"/>
  <c r="E22" i="26" s="1"/>
  <c r="E58" i="21"/>
  <c r="B8" i="37" s="1"/>
  <c r="B13" i="45"/>
  <c r="N9" i="1" s="1"/>
  <c r="B8" i="47"/>
  <c r="N13" i="1" s="1"/>
  <c r="D58" i="21" l="1"/>
  <c r="B9" i="37" s="1"/>
  <c r="B19" i="26" s="1"/>
  <c r="C58" i="21"/>
  <c r="B7" i="37" s="1"/>
  <c r="B20" i="48"/>
  <c r="C27" i="48" s="1" a="1"/>
  <c r="C27" i="48" s="1"/>
  <c r="E44" i="26"/>
  <c r="B37" i="46" a="1"/>
  <c r="B37" i="46" s="1"/>
  <c r="N7" i="1" s="1"/>
  <c r="E23" i="26"/>
  <c r="B35" i="46" a="1"/>
  <c r="B35" i="46" s="1"/>
  <c r="N5" i="1" s="1"/>
  <c r="E42" i="26"/>
  <c r="E26" i="26"/>
  <c r="C20" i="26"/>
  <c r="B36" i="46" a="1"/>
  <c r="B36" i="46" s="1"/>
  <c r="N6" i="1" s="1"/>
  <c r="E31" i="26"/>
  <c r="C57" i="26"/>
  <c r="E47" i="26"/>
  <c r="E43" i="26"/>
  <c r="F60" i="26" l="1"/>
  <c r="B18" i="26"/>
  <c r="E65" i="26"/>
  <c r="G52" i="26"/>
  <c r="G54" i="26"/>
  <c r="G55" i="26"/>
  <c r="G39" i="26"/>
  <c r="G36" i="26"/>
  <c r="E68" i="26"/>
  <c r="F67" i="26"/>
  <c r="C23" i="48"/>
  <c r="E62" i="26"/>
  <c r="F61" i="26"/>
  <c r="G49" i="26"/>
  <c r="G33" i="26"/>
  <c r="K33" i="26" s="1"/>
  <c r="K34" i="26" s="1"/>
  <c r="K35" i="26" s="1"/>
  <c r="K36" i="26" s="1"/>
  <c r="K37" i="26" s="1"/>
  <c r="F66" i="26"/>
  <c r="E59" i="26"/>
  <c r="G38" i="26"/>
  <c r="B10" i="26"/>
  <c r="B11" i="26" s="1"/>
  <c r="B12" i="26" s="1"/>
  <c r="C22" i="48"/>
  <c r="C21" i="48"/>
  <c r="C25" i="48"/>
  <c r="C35" i="48" s="1"/>
  <c r="C26" i="48"/>
  <c r="C36" i="48" s="1"/>
  <c r="C28" i="48"/>
  <c r="C33" i="48" s="1"/>
  <c r="B38" i="48" s="1"/>
  <c r="C40" i="48" s="1"/>
  <c r="B42" i="48" s="1"/>
  <c r="C44" i="48" s="1"/>
  <c r="C24" i="48"/>
  <c r="C34" i="48" s="1"/>
  <c r="J24" i="26"/>
  <c r="J25" i="26" s="1"/>
  <c r="J26" i="26" s="1"/>
  <c r="J27" i="26" s="1"/>
  <c r="J28" i="26" s="1"/>
  <c r="J29" i="26" s="1"/>
  <c r="J30" i="26" s="1"/>
  <c r="J31" i="26" s="1"/>
  <c r="J32" i="26" s="1"/>
  <c r="J33" i="26" s="1"/>
  <c r="M29" i="26"/>
  <c r="M30" i="26" s="1"/>
  <c r="M31" i="26" s="1"/>
  <c r="M32" i="26" s="1"/>
  <c r="L22" i="26"/>
  <c r="L23" i="26" s="1"/>
  <c r="L24" i="26" s="1"/>
  <c r="L25" i="26" s="1"/>
  <c r="L26" i="26" s="1"/>
  <c r="L27" i="26" s="1"/>
  <c r="L28" i="26" s="1"/>
  <c r="L29" i="26" s="1"/>
  <c r="L30" i="26" s="1"/>
  <c r="L31" i="26" s="1"/>
  <c r="L32" i="26" s="1"/>
  <c r="L33" i="26" s="1"/>
  <c r="L34" i="26" s="1"/>
  <c r="L35" i="26" s="1"/>
  <c r="L36" i="26" s="1"/>
  <c r="L37" i="26" s="1"/>
  <c r="L38" i="26" s="1"/>
  <c r="L39" i="26" s="1"/>
  <c r="L40" i="26" s="1"/>
  <c r="L41" i="26" s="1"/>
  <c r="L42" i="26" s="1"/>
  <c r="L43" i="26" s="1"/>
  <c r="L44" i="26" s="1"/>
  <c r="L45" i="26" s="1"/>
  <c r="L46" i="26" s="1"/>
  <c r="L47" i="26" s="1"/>
  <c r="L48" i="26" s="1"/>
  <c r="L49" i="26" s="1"/>
  <c r="L50" i="26" s="1"/>
  <c r="L51" i="26" s="1"/>
  <c r="L52" i="26" s="1"/>
  <c r="L53" i="26" s="1"/>
  <c r="L54" i="26" s="1"/>
  <c r="L55" i="26" s="1"/>
  <c r="L56" i="26" s="1"/>
  <c r="L57" i="26" s="1"/>
  <c r="L58" i="26" s="1"/>
  <c r="L59" i="26" s="1"/>
  <c r="L60" i="26" s="1"/>
  <c r="L61" i="26" s="1"/>
  <c r="L62" i="26" s="1"/>
  <c r="L63" i="26" l="1"/>
  <c r="L64" i="26" s="1"/>
  <c r="L65" i="26" s="1"/>
  <c r="L66" i="26" s="1"/>
  <c r="L67" i="26" s="1"/>
  <c r="L68" i="26" s="1"/>
  <c r="K38" i="26"/>
  <c r="K39" i="26" s="1"/>
  <c r="K40" i="26" s="1"/>
  <c r="K41" i="26" s="1"/>
  <c r="K42" i="26" s="1"/>
  <c r="K43" i="26" s="1"/>
  <c r="K44" i="26" s="1"/>
  <c r="K45" i="26" s="1"/>
  <c r="K46" i="26" s="1"/>
  <c r="K47" i="26" s="1"/>
  <c r="K48" i="26" s="1"/>
  <c r="K49" i="26" s="1"/>
  <c r="K50" i="26" s="1"/>
  <c r="K51" i="26" s="1"/>
  <c r="K52" i="26" s="1"/>
  <c r="K53" i="26" s="1"/>
  <c r="K54" i="26" s="1"/>
  <c r="K55" i="26" s="1"/>
  <c r="K56" i="26" s="1"/>
  <c r="K57" i="26" s="1"/>
  <c r="K58" i="26" s="1"/>
  <c r="K59" i="26" s="1"/>
  <c r="K60" i="26" s="1"/>
  <c r="K61" i="26" s="1"/>
  <c r="K62" i="26" s="1"/>
  <c r="K63" i="26" s="1"/>
  <c r="K64" i="26" s="1"/>
  <c r="K65" i="26" s="1"/>
  <c r="K66" i="26" s="1"/>
  <c r="K67" i="26" s="1"/>
  <c r="K68" i="26" s="1"/>
  <c r="B71" i="26" s="1"/>
  <c r="N21" i="1" s="1"/>
  <c r="J34" i="26"/>
  <c r="J35" i="26" s="1"/>
  <c r="J36" i="26" s="1"/>
  <c r="J37" i="26" s="1"/>
  <c r="J38" i="26" s="1"/>
  <c r="J39" i="26" s="1"/>
  <c r="J40" i="26" s="1"/>
  <c r="J41" i="26" s="1"/>
  <c r="J42" i="26" s="1"/>
  <c r="J43" i="26" s="1"/>
  <c r="J44" i="26" s="1"/>
  <c r="J45" i="26" s="1"/>
  <c r="J46" i="26" s="1"/>
  <c r="J47" i="26" s="1"/>
  <c r="J48" i="26" s="1"/>
  <c r="J49" i="26" s="1"/>
  <c r="J50" i="26" s="1"/>
  <c r="J51" i="26" s="1"/>
  <c r="J52" i="26" s="1"/>
  <c r="J53" i="26" s="1"/>
  <c r="J54" i="26" s="1"/>
  <c r="J55" i="26" s="1"/>
  <c r="M33" i="26"/>
  <c r="M34" i="26" s="1"/>
  <c r="M35" i="26" s="1"/>
  <c r="M36" i="26" s="1"/>
  <c r="M37" i="26" s="1"/>
  <c r="M38" i="26" s="1"/>
  <c r="M39" i="26" s="1"/>
  <c r="M40" i="26" s="1"/>
  <c r="M41" i="26" s="1"/>
  <c r="M42" i="26" s="1"/>
  <c r="M43" i="26" s="1"/>
  <c r="M44" i="26" s="1"/>
  <c r="M45" i="26" s="1"/>
  <c r="M46" i="26" s="1"/>
  <c r="M47" i="26" s="1"/>
  <c r="M48" i="26" s="1"/>
  <c r="M49" i="26" s="1"/>
  <c r="M50" i="26" s="1"/>
  <c r="M51" i="26" s="1"/>
  <c r="M52" i="26" s="1"/>
  <c r="M53" i="26" s="1"/>
  <c r="M54" i="26" s="1"/>
  <c r="M55" i="26" s="1"/>
  <c r="M56" i="26" s="1"/>
  <c r="M57" i="26" s="1"/>
  <c r="M58" i="26" s="1"/>
  <c r="M59" i="26" s="1"/>
  <c r="M60" i="26" s="1"/>
  <c r="M61" i="26" s="1"/>
  <c r="M62" i="26" s="1"/>
  <c r="M63" i="26" s="1"/>
  <c r="M64" i="26" s="1"/>
  <c r="M65" i="26" s="1"/>
  <c r="M66" i="26" s="1"/>
  <c r="M67" i="26" s="1"/>
  <c r="M68" i="26" s="1"/>
  <c r="C45" i="48"/>
  <c r="B47" i="48" s="1" a="1"/>
  <c r="B47" i="48" s="1"/>
  <c r="C54" i="48" s="1"/>
  <c r="C43" i="48"/>
  <c r="B30" i="48"/>
  <c r="C31" i="48" s="1"/>
  <c r="C39" i="48"/>
  <c r="B72" i="26" l="1"/>
  <c r="N22" i="1" s="1"/>
  <c r="J56" i="26"/>
  <c r="J57" i="26" s="1"/>
  <c r="J58" i="26" s="1"/>
  <c r="J59" i="26" s="1"/>
  <c r="J60" i="26" s="1"/>
  <c r="J61" i="26" s="1"/>
  <c r="J62" i="26" s="1"/>
  <c r="J63" i="26" s="1"/>
  <c r="J64" i="26" s="1"/>
  <c r="J65" i="26" s="1"/>
  <c r="J66" i="26" s="1"/>
  <c r="J67" i="26" s="1"/>
  <c r="J68" i="26" s="1"/>
  <c r="B70" i="26" s="1"/>
  <c r="N20" i="1" s="1"/>
  <c r="C57" i="48" a="1"/>
  <c r="C57" i="48" s="1"/>
  <c r="V42" i="1" s="1"/>
  <c r="C48" i="48"/>
  <c r="C52" i="48" s="1"/>
  <c r="V36" i="1" s="1"/>
  <c r="C58" i="48"/>
  <c r="B63" i="48" s="1"/>
  <c r="V39" i="1" s="1"/>
  <c r="C53" i="48"/>
  <c r="C51" i="48"/>
  <c r="U36" i="1" s="1"/>
  <c r="C56" i="48"/>
  <c r="C55" i="48"/>
  <c r="C49" i="48"/>
  <c r="V38" i="1" s="1"/>
  <c r="C50" i="48"/>
  <c r="V40" i="1" l="1"/>
  <c r="B64" i="48"/>
  <c r="B65" i="48"/>
  <c r="V41" i="1" s="1"/>
  <c r="B60" i="48"/>
  <c r="C61" i="48" s="1"/>
  <c r="V3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<sst xmlns="http://schemas.openxmlformats.org/spreadsheetml/2006/main" count="1781" uniqueCount="833">
  <si>
    <t>Inputs:</t>
  </si>
  <si>
    <t>Shell selection</t>
  </si>
  <si>
    <t>Nose coverings removal</t>
  </si>
  <si>
    <t>Shell diameter (in)</t>
  </si>
  <si>
    <t>Shell weight (lb)</t>
  </si>
  <si>
    <t>Windshield weight (lb)</t>
  </si>
  <si>
    <t>Armor curved?</t>
  </si>
  <si>
    <t>Armor thickness (in)</t>
  </si>
  <si>
    <t>Striking velocity (f/s)</t>
  </si>
  <si>
    <t>Obliquity (°)</t>
  </si>
  <si>
    <t>Shell nation</t>
  </si>
  <si>
    <t>Armor nation</t>
  </si>
  <si>
    <t>Armor selection</t>
  </si>
  <si>
    <t>UNCAPPED CHILLED CAST IRON SHOT/SHELL &amp; ALL COMMON SHELLS (1860-1900)</t>
  </si>
  <si>
    <t>ALD</t>
  </si>
  <si>
    <t>BLD</t>
  </si>
  <si>
    <t>CLD</t>
  </si>
  <si>
    <t>AED</t>
  </si>
  <si>
    <t>BED</t>
  </si>
  <si>
    <t>CED</t>
  </si>
  <si>
    <t>CRITAGL</t>
  </si>
  <si>
    <t>BRAAK</t>
  </si>
  <si>
    <t>SHATRES</t>
  </si>
  <si>
    <t>APCAP</t>
  </si>
  <si>
    <t>LTCASE</t>
  </si>
  <si>
    <t>NSDAMAGL</t>
  </si>
  <si>
    <t>PLIM</t>
  </si>
  <si>
    <t>PDAM</t>
  </si>
  <si>
    <t>BEND</t>
  </si>
  <si>
    <t>CARDONALD</t>
  </si>
  <si>
    <t>SOFT-CAPPED CHILLED CAST IRON SHOT/SHELL</t>
  </si>
  <si>
    <t>UNCAPPED AP SHOT/SHELL (NON-MIDVALE 1890-1910 &amp; MIDVALE 1890-1895)</t>
  </si>
  <si>
    <t>SOFT-CAPPED APC SHOT/SHELL (NON-MIDVALE 1896-1910)</t>
  </si>
  <si>
    <t>D1</t>
  </si>
  <si>
    <t>D2</t>
  </si>
  <si>
    <t>D3</t>
  </si>
  <si>
    <t>D4</t>
  </si>
  <si>
    <t>MIDVALE TOUGH-STEEL AP SHOT/SHELL 1895-1910</t>
  </si>
  <si>
    <t>MIDVALE TOUGH-STEEL SOFT-CAPPED APC SHOT/SHELL 1898-1910</t>
  </si>
  <si>
    <t>7/12/14" RAILROAD GUN BASE-FUZED WWI BOMBARDMENT/WWII CLASS 'B' LARGE-FILLER HE SHELLS</t>
  </si>
  <si>
    <t>SOFT-CAPPED NON-MIDVALE POST-1911 APC</t>
  </si>
  <si>
    <t>SOFT-CAPPED MIDVALE UNBREAKABLE APC (1911 8" MARK 11 &amp; POST-1916 12-16")</t>
  </si>
  <si>
    <t>1921-35 A.C.D. APC (2-3% EX. D FILLER) ('MIDVALE ARMY 1921')</t>
  </si>
  <si>
    <t>POST-1935 A.C.D. APC (1.4-2% EX. D FILLER)</t>
  </si>
  <si>
    <t>POST-WWI BASE-FUZED COMMON (4-5% Ex. D FILLER w/WINDSCREEN &amp; W/O HOOD)</t>
  </si>
  <si>
    <t>POST-WWI BASE-FUZED 'SPECIAL' COMMON (3-4.4% EX. D FILLER W/HOOD &amp; WINDSCREEN) (1930-45) (NOT 6" MK 27 OR 8" MK 15)</t>
  </si>
  <si>
    <t>6" MK 27-1-6 BASE-FUZED 'SPECIAL' COMMON (2.1-2.4% EX. D FILLER W/HOOD) (1933)</t>
  </si>
  <si>
    <t>8" MK 15-1 HARD-CAPPED BASE-FUZED 'SPECIAL' COMMON (4.4% EX. D FILLER) (1930)</t>
  </si>
  <si>
    <t>3" MK 29-1/30-1 (to 1944) AND 8" MK 19-1-3 (to 1941) &amp; A.C.D. MK 20-1 APC</t>
  </si>
  <si>
    <t>8" MK 19-4-6 APC</t>
  </si>
  <si>
    <t>6" MK 35-1 &amp; 16" MK 8-1-5 (to 1944) APC</t>
  </si>
  <si>
    <t>8" MK 21-1-4, 14" MK 16-1-6 (to 1944) &amp; A.C.D. MK 20-1, AND 16" MK 5-1-4 (to 1944) &amp; MK 5-6 (ex-A.C.D. MK 12-1 w/MK 21 BDF) APC</t>
  </si>
  <si>
    <t>3" MK 29-2/30-2, 6" MK 35-9-11, 8" MK 21-5, 12" Mk 18-1, 14" MK 16-7-11, AND 16" MK 5-5 &amp; MK 8-6-8 APC</t>
  </si>
  <si>
    <t>British projectile selections</t>
  </si>
  <si>
    <t>US projectile selections</t>
  </si>
  <si>
    <t>CP</t>
  </si>
  <si>
    <t>CPC</t>
  </si>
  <si>
    <t>ORIGINAL 6-IN TO 12-IN APC 1905-1912</t>
  </si>
  <si>
    <t>PALLISER CHILLED CAST IRON SHOT &amp; ALL COMMON SHELLS (1860-1900)</t>
  </si>
  <si>
    <t>UNCAPPED STEEL AP SHOT/SHELL 0-6% BLACK-POWDER/HE FILLER (1890-1905)</t>
  </si>
  <si>
    <t>AVE 6-13.5" (LT) CAST-STEEL APC 1913-1918</t>
  </si>
  <si>
    <t>13.5" (HY), 14", &amp; 15" FORGED-STEEL APC 1913-1918</t>
  </si>
  <si>
    <t>12" MK 7A APC</t>
  </si>
  <si>
    <t>13.5" (HVY), 14", &amp; 15" MK 5A APC</t>
  </si>
  <si>
    <t>15" MK 5A BLUE-BAND APC</t>
  </si>
  <si>
    <t>POST-WWI CPBC/SAP WITH HOOD</t>
  </si>
  <si>
    <t>8" SAPC</t>
  </si>
  <si>
    <t>9.2" GREEN BOY COAST DEFENSE 1919-1935</t>
  </si>
  <si>
    <t>9.2" COAST DEFENSE 1935-1950 (STILL 3.4% FILLER)</t>
  </si>
  <si>
    <t>16" MK 1B APC</t>
  </si>
  <si>
    <t>14-16" POST-1930</t>
  </si>
  <si>
    <t>15" CARDONALD</t>
  </si>
  <si>
    <t>German projectile selections</t>
  </si>
  <si>
    <t>D5</t>
  </si>
  <si>
    <t>D6</t>
  </si>
  <si>
    <t>AVE. OF GRUSON CHILLED CAST IRON AP SHOT &amp; ALL COMMON SHELLS (1860-1890)</t>
  </si>
  <si>
    <t>AVE. OF UNCAPPED KRUPP STEEL AP SHOT UP TO 1902 (LAST DESIGN BECAME L/2,6 APC WHEN SOFT AP CAP ADDED TO REPLACE CAPPED STGR. C.1902)</t>
  </si>
  <si>
    <t xml:space="preserve">AVE. OF UNCAPPED COMMON UP TO 1929 (STGR. ('STEEL SHELL') &amp; LATER SPGR.M.BDZ.) </t>
  </si>
  <si>
    <t>SOFT-CAPPED VERSION OF SEL #3 (EXPERIMENTAL; 10% "DARTH VADER" CAP W/O WINDSCREEN ADDED C.1897) (REMOVED C.1902 DUE TO USUALLY BREAKING UP AGAINST KC ARMOR &amp; REPLACED BY L/2,6 APC SHOT)</t>
  </si>
  <si>
    <t>15CM-28.3CM PSGR.M.K. L/2,6 SOFT-CAPPED STEEL APC SHOT (1ST KRUPP CAPPED AP PROJ (1902) -- 10% "DARTH VADER" CAP W/O WINDSCREEN)</t>
  </si>
  <si>
    <t>15CM-30.5CM PSGR.M.K. L/2,9/3,1 SOFT-CAPPED STEEL APC SHELL (1906) (2ND KRUPP CAPPED PROJ (1906) -- 7.5% "DARTH VADER" CAP W/O WINDSCREEN)</t>
  </si>
  <si>
    <t>17CM PSGR.M.K. L/3 SOFT-CAPPED STEEL APC SHELL (1906) -- VERY BRITTLE PROJ (WORST APC SHELL) (3RD KRUPP CAPPED PROJ (1906) -- 7.8% "DARTH VADER" CAP W/O WINDSCREEN)</t>
  </si>
  <si>
    <t>28.3CM ("28CM") L/3,2, 30.5CM L/3,4, &amp; 38CM L/3,5 PSGR.M.K. (1911-1918) AND TESTED 35CM PSGR.M.K. L/3,6 FOR ABORTED MACKENSEN BC (TOUGH AP CAPS; 35/38CM HAD SKODA-LIKE CAPS)</t>
  </si>
  <si>
    <t>COMMON WITH HOOD ("GRUNDRING") AFTER 1929</t>
  </si>
  <si>
    <t>38CM &amp; PROJECTED 40.6CM CAPPED COMMON (SPGR.M.BDZ.U.K.)</t>
  </si>
  <si>
    <t>15CM PSGR.M.K. L/3,7 (1925)</t>
  </si>
  <si>
    <t>28.3CM ("28CM") PSGR.M.K. L/3,7 (1928)</t>
  </si>
  <si>
    <t>20.3CM &amp; 30,5CM PSGR.M.K. L/4,4 AND 15CM PSGR.M.K. L/4,6 (ONLY 20,3CM MADE)</t>
  </si>
  <si>
    <t>28.3CM ("28CM") PSGR.M.K. L/4,4 (SCHARNHORST -- 1934)</t>
  </si>
  <si>
    <t>38CM PSGR.M.K. L/4,4 (BISMARCK -- 1941)</t>
  </si>
  <si>
    <t>40.6CM PSGR.M.K. L/4,4 (ORIG. COAST DEFENSE &amp; PROJECTED H-41 &amp; H-42 BB)</t>
  </si>
  <si>
    <t>LIGHTWEIGHT SUPER-LONG-RANGE 38CM &amp; 40.6CM COAST DEFENSE PSGR.M.K.</t>
  </si>
  <si>
    <t>PROJECTED 53CM "GERAT 36" PSGR.M.K. (H-44 SUPER-BB)</t>
  </si>
  <si>
    <t>French projectile selections</t>
  </si>
  <si>
    <t>D7</t>
  </si>
  <si>
    <t>SOFT-CAPPED CHILLED CAST IRON APC SHOT/SHELL (1898-1910)</t>
  </si>
  <si>
    <t>UNCAPPED CHILLED CAST IRON SHOT/SHELL &amp; ALL COMMON SHELLS (1860-1910)</t>
  </si>
  <si>
    <t>UNCAPPED STEEL AP SHOT/SHELL</t>
  </si>
  <si>
    <t>SOFT-CAPPED SAPC (c.1900-c.1909)</t>
  </si>
  <si>
    <t>HARD-CAPPED SAPC (c.1909-45) (USING A-H SKODA HARD-CAPPED AP SHELL INFO.)</t>
  </si>
  <si>
    <t>USE UNCAPPED GERMAN SPGR.M.BDZ. (POST-1922)</t>
  </si>
  <si>
    <t>33CM SAPC</t>
  </si>
  <si>
    <t>38CM FRENCH 1940 APC</t>
  </si>
  <si>
    <t>38CM US CRUCIBLE STEEL COMPANY 380MM AP MK 1 SHELL FOR RICHELIEU</t>
  </si>
  <si>
    <t>Italian projectile selections</t>
  </si>
  <si>
    <t>BR3</t>
  </si>
  <si>
    <t>BR4</t>
  </si>
  <si>
    <t>BR6</t>
  </si>
  <si>
    <t>BR7</t>
  </si>
  <si>
    <t>BR8</t>
  </si>
  <si>
    <t>BR9</t>
  </si>
  <si>
    <t>AVE. PALLISER/GRUSON CHILLED CAST IRON SHOT/SHELL &amp; ALL COMMON SHELLS (1860-1900)</t>
  </si>
  <si>
    <t>AVE. STEEL AP SHOT/SHELL (1890-1923)</t>
  </si>
  <si>
    <t>AVE. SOFT-CAPPED STEEL APC SHOT/SHELL (1905-1930)</t>
  </si>
  <si>
    <t>AVE. BRITISH-TYPE UNCAPPED CP (LIGHT-CASE) (1900-23)</t>
  </si>
  <si>
    <t>AVE. BRITISH-TYPE CPC (LIGHT-CASE) (1912-23)</t>
  </si>
  <si>
    <t>AVE. BRITISH-TYPE IMPROVED 6-12" CAST-STEEL APC (1912-23)</t>
  </si>
  <si>
    <t>AVE. BRITISH-TYPE IMPROVED 15" FORGED-STEEL APC FOR PROPOSED 1914 BB</t>
  </si>
  <si>
    <t>AVE. BRITISH-12"-MARK-7A-TYPE POST-JUTLAND APC (1923-30)</t>
  </si>
  <si>
    <t>AVE. BRITISH-15"-MARK 5A-TYPE POST-JUTLAND APC FOR PROPOSED 1914 BB</t>
  </si>
  <si>
    <t>ITALIAN POST-1930 UNCAPPED COMMON (SAP) (EST. USING KRUPP 20.3CM SPGR.M.BDZ. W/'GRUNDRING')</t>
  </si>
  <si>
    <t>ITALIAN POST-1930 HARD-CAPPED COMMON (SAPC) (EST. USING KRUPP 38CM SPGR.M.BDZ.U.K.)</t>
  </si>
  <si>
    <t>ITALIAN POST-1930 15-38CM APC (EST. BASED ON BRITISH 15" MK 5A IMPROVMENTS)</t>
  </si>
  <si>
    <t>Japanese projectile selections</t>
  </si>
  <si>
    <t>PALLISER CHILLED CAST IRON AP SHOT/SHELL &amp; ALL COMMON SHELLS (1860-1900)</t>
  </si>
  <si>
    <t>AVERAGE STEEL AP SHOT/SHELL (0-6% FILLER)</t>
  </si>
  <si>
    <t>SOFT-CAPPED APC SHOT/SHELL (0-6% FILLER)</t>
  </si>
  <si>
    <t>USING BRITISH CP (9-10% FILLER)</t>
  </si>
  <si>
    <t>USING BRITISH CPC (9-10% FILLER)</t>
  </si>
  <si>
    <t>USING 14-INCH BRITISH PRE-JUTLAND APC 1912-1921</t>
  </si>
  <si>
    <t>14-IN BRITISH 'MK 5' APC (JAPANESE COPY)</t>
  </si>
  <si>
    <t>20CM, 36CM, &amp; 41CM MK 6/TYPE 88 APC</t>
  </si>
  <si>
    <t>ALL CAPPED TYPE 91 AP (APC)</t>
  </si>
  <si>
    <t>ALL UNCAPPED TYPE 91 AP (SAP)</t>
  </si>
  <si>
    <t>Austro-Hungarian projectile selections</t>
  </si>
  <si>
    <t>SOFT-CAPPED CHILLED CAST IRON AP SHOT</t>
  </si>
  <si>
    <t>AVERAGE STEEL AP SHOT/SHELL (1890-1908)</t>
  </si>
  <si>
    <t>AVERAGE SOFT-CAPPED STEEL APC SHOT/SHELL (1898-1908)</t>
  </si>
  <si>
    <t>'TOUGH'-CAPPED AP SHELL/COMMON (4-6% FILLER) (E.GR.) (1909-18)</t>
  </si>
  <si>
    <t>SKODA BRITISH-TYPE CP (9-10% FILLER) (UNCAPPED) (1895-1918)</t>
  </si>
  <si>
    <t>SKODA BRITISH-TYPE (BUT TOUGH-CAPPED) CPC (9-10% FILLER)(Z.GR.)(1909-1918)</t>
  </si>
  <si>
    <t>SKODA WWI TOUGH-CAPPED APC (P.GR.) (1909-1918)</t>
  </si>
  <si>
    <t>Russian projectile selections</t>
  </si>
  <si>
    <t>SOFT-CAPPED CHILLED CAST IRON SHOT/SHELL (1896-1900)</t>
  </si>
  <si>
    <t>SOFT-CAPPED APC SHOT/SHELL (1896-c1905)</t>
  </si>
  <si>
    <t>UNCAPPED AP SHOT/SHELL (1890-c1905)</t>
  </si>
  <si>
    <t>UNCAPPED M190X-QUALITY STEEL AP SHELL</t>
  </si>
  <si>
    <t>'TOUGH'-CAPPED M190X STEEL APC SHELL</t>
  </si>
  <si>
    <t>UNCAPPED M190X COMMON</t>
  </si>
  <si>
    <t>'TOUGH'=CAPPED M190X COMMON</t>
  </si>
  <si>
    <t>Q</t>
  </si>
  <si>
    <t>QDAM</t>
  </si>
  <si>
    <t>UB</t>
  </si>
  <si>
    <t>CARTWL</t>
  </si>
  <si>
    <t>CMPND</t>
  </si>
  <si>
    <t>SOFTSHAT</t>
  </si>
  <si>
    <t>THKTHN</t>
  </si>
  <si>
    <t>THNCHL</t>
  </si>
  <si>
    <t>US armor selections</t>
  </si>
  <si>
    <t>GRUSON</t>
  </si>
  <si>
    <t>COMPOUND</t>
  </si>
  <si>
    <t>HARVEYMS</t>
  </si>
  <si>
    <t>HARVEYNIS</t>
  </si>
  <si>
    <t>AVE1898</t>
  </si>
  <si>
    <t>WWICLA</t>
  </si>
  <si>
    <t>WWIICLA</t>
  </si>
  <si>
    <t>WWIICLA2</t>
  </si>
  <si>
    <t>GRUSON CHILLED CAST IRON DOMES (VARIABLE FACE THICKNESS)</t>
  </si>
  <si>
    <t>COMPOUND (67-75% WROUGHT IRON W/CIRCA 450 BRINELL STEEL FACE)</t>
  </si>
  <si>
    <t>HARVEY MILD STEEL (1-1.5-INCH HIGH-CARBON 600-700 BRINELL 'CEMENTED' FACE -- USING 1.25-INCH FACE HERE -- REST OF PLATE SOFT)</t>
  </si>
  <si>
    <t>HARVEY NI-STEEL (STRONGER STEEL; SAME FACE)</t>
  </si>
  <si>
    <t>ALL OTHER KC 1898-1910 (IMPROVED ORIGINAL Ni-Cr KRUPP KC a/A AS USED BY MOST OTHER NATIONS--INCLUDES US BNC &amp; PRE-1911 CKC)</t>
  </si>
  <si>
    <t>MOST WWI DEFAULTS USED HERE. AVERAGE OF ALL OTHER U.S. CLASS 'A' 1911-1930 (MOSTLY CARNEGIE KC ('CKC'; IMPROVED KRUPP KC a/A))</t>
  </si>
  <si>
    <t>MNC</t>
  </si>
  <si>
    <t>BTC</t>
  </si>
  <si>
    <t>MIDVALE NON-CEMENTED (HEAVIEST--82%--FACE: 50% OF PLATE @ 490-BRINELL &amp; 32% TRANSITION--FIRST US 'SOFTSHAT=1' CAPABILITY)</t>
  </si>
  <si>
    <t>BETHLEHEM THIN CHILL (KC-TYPE, BUT THINNEST CIRCA-15-20% FACE EVER USED)</t>
  </si>
  <si>
    <t>ORIGINAL U.S. WWII CLASS 'A' (THICKEST--55%--FACE FOR WWII FH ARMOR. BEST THIN PLATES, BUT FACE TOO THICK IN THICK PLATES)('SOFTSHAT=1' CAPABILITY)</t>
  </si>
  <si>
    <t>IMPROVED U.S. WWII CLASS 'A' STARTING IN 1944 (MOST 6-TAPERED-TO-4" TO 8" PLATES)</t>
  </si>
  <si>
    <t>B14:J23</t>
  </si>
  <si>
    <t>British armor selections</t>
  </si>
  <si>
    <t>BRWWIKC</t>
  </si>
  <si>
    <t>BR1922KC</t>
  </si>
  <si>
    <t>CA</t>
  </si>
  <si>
    <t>BRITISH WWI AVERAGE KC</t>
  </si>
  <si>
    <t>BRITISH AVERAGE KC USED IN HMS NELSON &amp; RODNEY (IMPROVED WWI KC)</t>
  </si>
  <si>
    <t>BRITISH WWII CA (THINNEST 25-30% FACE KC-TYPE ARMOR MADE AFTER 1930)</t>
  </si>
  <si>
    <t>B26:J33</t>
  </si>
  <si>
    <t>German armor selections</t>
  </si>
  <si>
    <t>KCAA1892</t>
  </si>
  <si>
    <t>KCAA1894</t>
  </si>
  <si>
    <t>KCAA1906</t>
  </si>
  <si>
    <t>KCAA1911</t>
  </si>
  <si>
    <t>KCNA1</t>
  </si>
  <si>
    <t>KCNA2</t>
  </si>
  <si>
    <t>GERMAN 1892 KC a/A (ORIGINAL 35%-FACE KRUPP KC USING Ni-ONLY STEEL &lt;9" THICK ON A FEW SHIPS)</t>
  </si>
  <si>
    <t>GERMAN 1894 KC a/A (ORIGINAL 35%-FACE KRUPP KC USING HOMOGENEOUS TEST PLATE #420 ("Q420") Cr-Ni STEEL; 1st MODERN ARMOR STEEL)</t>
  </si>
  <si>
    <t>IMPROVED 1906 DREADNOUGHT-TYPE GERMAN KC a/A (TOUGH BACK LAYER, BUT TEMPERED FACE STILL TOO BRITTLE FOR BEST RESULTS) (OSTFRIESLAND PLATES)</t>
  </si>
  <si>
    <t>FINAL VERSION OF GERMAN KC a/A (BADEN PLATES)</t>
  </si>
  <si>
    <t>GERMAN KC n/A (IMPROVED 1928 VERSION KRUPP KC FOR 'POCKET BATTLESHIP' TURRETS) (MEDIUM--41%--FACE THICKNESS &amp; HIGHEST FACE HARDNESS)</t>
  </si>
  <si>
    <t>GERMAN KC n/A (FINAL FURTHER-IMPROVED THICK-PLATE VERSION OF GERMAN KC n/A FOR SCHARNHORST &amp; BISMARCK CL.) (NOW HAS 'SOFTSHAT=1' CAPABILITY)</t>
  </si>
  <si>
    <t>B36:J45</t>
  </si>
  <si>
    <t>French armor selections</t>
  </si>
  <si>
    <t>AVE1911</t>
  </si>
  <si>
    <t>AVE1922</t>
  </si>
  <si>
    <t>AVE1930</t>
  </si>
  <si>
    <t>ALL OTHER KC 1911-1921 (NOTICABLY IMPROVED KRUPP KC a/A, WITH SOME IMPROVED TOUGHNESS, BUT STILL NO 'SOFTSHAT=1' CAPABILITY)</t>
  </si>
  <si>
    <t>ALL OTHER KC 1922-1930 (FURTHER IMPROVED KC a/A; BUT STILL NO 'SOFTSHAT=1' CAPABILITY, TO MY KNOWLEDGE)</t>
  </si>
  <si>
    <t>MOST WWII DEFAULTS USED HERE. ALL OTHER POST-1930 KC (VERY IMPROVED NON-GERMAN KC a/A) (ALL ASSUMED TO BE 'SOFTSHAT=1' PLATES)  FRENCH WWII KC ARMOR MATCHES.</t>
  </si>
  <si>
    <t>B48:J55</t>
  </si>
  <si>
    <t>Italian armor selections</t>
  </si>
  <si>
    <t>TERNI WWI AVERAGE KC</t>
  </si>
  <si>
    <t>TERNI</t>
  </si>
  <si>
    <t>ITALIAN POST-1930 TERNI CEMENTED (VARIABLE FACE THICKNESS = BEST THICK KC-TYPE &amp; NEAR-BEST THIN KC-TYPE)</t>
  </si>
  <si>
    <t>B58:J64</t>
  </si>
  <si>
    <t>Japanese armor selections</t>
  </si>
  <si>
    <t>VH</t>
  </si>
  <si>
    <t>JAPANESE VICKERS HARDENED (BEST MASS-PRODUCED NON-CEMENTED FH ARMOR, BUT THE ONLY POST-1930 FH ARMOR THAT WASN'T 'SOFTSHAT=1'--KEPT 1910 BRITISH VICKERS KC ("VC") RECIPE)</t>
  </si>
  <si>
    <t>B67:J73</t>
  </si>
  <si>
    <t>Austro-Hungarian armor selections</t>
  </si>
  <si>
    <t>AHKC</t>
  </si>
  <si>
    <t>1898-1918 AUSTRO-HUNGARIAN WITKOWITZ KC (IT ASSUMES 1911 SKODA 30.5-CM APC = KRUPP 30.5-CM L/3.4 APC) (BEST WWI FH ARMOR--FIRST WITH 'SOFTSHAT=1' CAPABILITY)</t>
  </si>
  <si>
    <t>B76:J80</t>
  </si>
  <si>
    <t>Russian armor selections</t>
  </si>
  <si>
    <t>B83:J90</t>
  </si>
  <si>
    <t>US</t>
  </si>
  <si>
    <t>British</t>
  </si>
  <si>
    <t>German</t>
  </si>
  <si>
    <t>French</t>
  </si>
  <si>
    <t>Italian</t>
  </si>
  <si>
    <t>Japanese</t>
  </si>
  <si>
    <t>Austro-Hungarian</t>
  </si>
  <si>
    <t>Russian</t>
  </si>
  <si>
    <t>Projectile Data'!B14:R33</t>
  </si>
  <si>
    <t>Projectile Data'!B36:R52</t>
  </si>
  <si>
    <t>Projectile Data'!B55:R72</t>
  </si>
  <si>
    <t>Projectile Data'!B75:R83</t>
  </si>
  <si>
    <t>Projectile Data'!B86:R97</t>
  </si>
  <si>
    <t>Projectile Data'!B100:R109</t>
  </si>
  <si>
    <t>Projectile Data'!B112:R119</t>
  </si>
  <si>
    <t>Projectile Data'!B122:R129</t>
  </si>
  <si>
    <t>Projectile Data'!B14:B33</t>
  </si>
  <si>
    <t>Projectile Data'!B36:B52</t>
  </si>
  <si>
    <t>Projectile Data'!B55:B72</t>
  </si>
  <si>
    <t>Projectile Data'!B75:B83</t>
  </si>
  <si>
    <t>Projectile Data'!B86:B97</t>
  </si>
  <si>
    <t>Projectile Data'!B100:B109</t>
  </si>
  <si>
    <t>Projectile Data'!B112:B119</t>
  </si>
  <si>
    <t>Projectile Data'!B122:B129</t>
  </si>
  <si>
    <t>Yes</t>
  </si>
  <si>
    <t>No</t>
  </si>
  <si>
    <t>Steel</t>
  </si>
  <si>
    <t>Wood</t>
  </si>
  <si>
    <t>Concrete</t>
  </si>
  <si>
    <t>None</t>
  </si>
  <si>
    <t>Windshield removed</t>
  </si>
  <si>
    <t>All removed</t>
  </si>
  <si>
    <t>All in place</t>
  </si>
  <si>
    <t>BACK</t>
  </si>
  <si>
    <t>AZ</t>
  </si>
  <si>
    <t>BZ</t>
  </si>
  <si>
    <t>CZ</t>
  </si>
  <si>
    <t>SC</t>
  </si>
  <si>
    <t>MO</t>
  </si>
  <si>
    <t>MSHAT</t>
  </si>
  <si>
    <t>M</t>
  </si>
  <si>
    <t>MS</t>
  </si>
  <si>
    <t>INT1</t>
  </si>
  <si>
    <t>INT2</t>
  </si>
  <si>
    <t>POINT5</t>
  </si>
  <si>
    <t>MSHATTHKMAX</t>
  </si>
  <si>
    <t>MSHATTHK</t>
  </si>
  <si>
    <t>MSHATTHINMAX</t>
  </si>
  <si>
    <t>MSHATTHIN</t>
  </si>
  <si>
    <t>NDAP</t>
  </si>
  <si>
    <t>intermediate</t>
  </si>
  <si>
    <t>final NDAP</t>
  </si>
  <si>
    <t>TD</t>
  </si>
  <si>
    <t>LCDAM</t>
  </si>
  <si>
    <t>TCAL</t>
  </si>
  <si>
    <t>OPRIMEL</t>
  </si>
  <si>
    <t>OPRIMED</t>
  </si>
  <si>
    <t>LCMOD</t>
  </si>
  <si>
    <t>POLMOD</t>
  </si>
  <si>
    <t>POIMOD</t>
  </si>
  <si>
    <t>final POLMOD</t>
  </si>
  <si>
    <t>PLUGMULT</t>
  </si>
  <si>
    <t>final PLUGMULT</t>
  </si>
  <si>
    <t>RNDPLUGWT</t>
  </si>
  <si>
    <t>NORMPLUGWT</t>
  </si>
  <si>
    <t>DELTAPLUGWT</t>
  </si>
  <si>
    <t>final DELTAPLUGWT</t>
  </si>
  <si>
    <t>NPWTPR</t>
  </si>
  <si>
    <t>TOTPLUGWT</t>
  </si>
  <si>
    <t>final NORMPLUGWT</t>
  </si>
  <si>
    <t>VDFSTD</t>
  </si>
  <si>
    <t>VDFUSED</t>
  </si>
  <si>
    <t>VFBND</t>
  </si>
  <si>
    <t>OBVDF</t>
  </si>
  <si>
    <t>BRK</t>
  </si>
  <si>
    <t>THSPD</t>
  </si>
  <si>
    <t>EXTH</t>
  </si>
  <si>
    <t>ALL OF THE FOLLOWING ONLY USED IF THVAL&lt;=OB</t>
  </si>
  <si>
    <t>TEMP1</t>
  </si>
  <si>
    <t>TEMP2</t>
  </si>
  <si>
    <t>TEMP3</t>
  </si>
  <si>
    <t>TEMP4</t>
  </si>
  <si>
    <t>THVAL &lt;= OB</t>
  </si>
  <si>
    <t>TEMPO</t>
  </si>
  <si>
    <t>final TEMP4</t>
  </si>
  <si>
    <t>final THSPD</t>
  </si>
  <si>
    <t>IF TRUE&gt;</t>
  </si>
  <si>
    <t>IF FALSE&gt;</t>
  </si>
  <si>
    <t>THVUSD</t>
  </si>
  <si>
    <t>THCHK</t>
  </si>
  <si>
    <t>VXP</t>
  </si>
  <si>
    <t>VDFHARVEY</t>
  </si>
  <si>
    <t>VDFSTDWW1</t>
  </si>
  <si>
    <t>VDFSTDWW2</t>
  </si>
  <si>
    <t>VDFBRK</t>
  </si>
  <si>
    <t>VRAT</t>
  </si>
  <si>
    <t>TMPV</t>
  </si>
  <si>
    <t>TMPVEL</t>
  </si>
  <si>
    <t>TMPDF1</t>
  </si>
  <si>
    <t>TMPDF2</t>
  </si>
  <si>
    <t>TMPOBDF</t>
  </si>
  <si>
    <t>OB45CALC</t>
  </si>
  <si>
    <t>final TMPOBDF</t>
  </si>
  <si>
    <t>NSBRK</t>
  </si>
  <si>
    <t>BDYDM</t>
  </si>
  <si>
    <t>IF SHATR 'NSBRK' = 2 ALREADY SET, IGNORE THIS LOGIC (projectile has already shattered, so this no longer applies)</t>
  </si>
  <si>
    <t>initial</t>
  </si>
  <si>
    <t>second IF</t>
  </si>
  <si>
    <t>final NSBRK</t>
  </si>
  <si>
    <t>list of cases</t>
  </si>
  <si>
    <t>PENTP</t>
  </si>
  <si>
    <t>NO COMPLETE PENETRATION</t>
  </si>
  <si>
    <t>OB&lt;45</t>
  </si>
  <si>
    <t>UNSHATTERED OR UNCAPPED TYPE 91 W/CAP HEAD IN PLACE</t>
  </si>
  <si>
    <t>PROJ REMAINS IN ONE PIECE OR NOSE DAMAGE ONLY</t>
  </si>
  <si>
    <t>PROJ BROKEN ON TOP OF ANY NOSE DAMAGE</t>
  </si>
  <si>
    <t>SHATTERED PROJ</t>
  </si>
  <si>
    <t>NOSE ONLY SHATTER</t>
  </si>
  <si>
    <t>OB&gt;=45</t>
  </si>
  <si>
    <t>ONLY NOSE DAMAGE OCCURS, SO NOTHING PENETRATES PLATE</t>
  </si>
  <si>
    <t>COMPLETE PENETRATION W/DELTA PLUG</t>
  </si>
  <si>
    <t>UNSHATTERED PROJ</t>
  </si>
  <si>
    <t>BODY BROKEN</t>
  </si>
  <si>
    <t>NO BODY BREAKAGE (OR OB &lt; 45)</t>
  </si>
  <si>
    <t>case numbers</t>
  </si>
  <si>
    <t>select case</t>
  </si>
  <si>
    <t>case number</t>
  </si>
  <si>
    <t>VR</t>
  </si>
  <si>
    <t>VDPLUG</t>
  </si>
  <si>
    <t>VNPLUG</t>
  </si>
  <si>
    <t>true MINEV</t>
  </si>
  <si>
    <t>MINEV (and MINEV1 through MINEV5) initialized at 0</t>
  </si>
  <si>
    <t>NOTEFLAG, NSFLG, CRITVEL, NOSEVEL, NVRFLAG, and NSTEST also initialized at 0</t>
  </si>
  <si>
    <t>MAXDIFF</t>
  </si>
  <si>
    <t>mostly for getting and printing projectile data</t>
  </si>
  <si>
    <t>CAPHD</t>
  </si>
  <si>
    <t>SOFTQPTMP</t>
  </si>
  <si>
    <t>SOFTQPTEMP</t>
  </si>
  <si>
    <t>SOFTQPMAX</t>
  </si>
  <si>
    <t>CRTGD</t>
  </si>
  <si>
    <t>bypass</t>
  </si>
  <si>
    <t>VHDAM</t>
  </si>
  <si>
    <t>VLDAM</t>
  </si>
  <si>
    <t>mostly for printing remaining velocity results</t>
  </si>
  <si>
    <t>VTMP</t>
  </si>
  <si>
    <t>VTEMP</t>
  </si>
  <si>
    <t>VTOTAL</t>
  </si>
  <si>
    <t>HARVEY ARMOR LOGIC</t>
  </si>
  <si>
    <t>VDFTHIN</t>
  </si>
  <si>
    <t>VHND</t>
  </si>
  <si>
    <t>VHSHAT</t>
  </si>
  <si>
    <t>VHSHATMAX</t>
  </si>
  <si>
    <t>VDFUSEDPR</t>
  </si>
  <si>
    <t>SHATVDFPR</t>
  </si>
  <si>
    <t>ALL OTHER ARMOR LOGIC</t>
  </si>
  <si>
    <t>VHTRU</t>
  </si>
  <si>
    <t>select values</t>
  </si>
  <si>
    <t>final VHTRU</t>
  </si>
  <si>
    <t>VLTRU</t>
  </si>
  <si>
    <t>initial SHATMULT</t>
  </si>
  <si>
    <t>intermediate SHATMULT</t>
  </si>
  <si>
    <t>final SHATMULT</t>
  </si>
  <si>
    <t>MINEV1</t>
  </si>
  <si>
    <t>NOTEFLAG</t>
  </si>
  <si>
    <t>THIN</t>
  </si>
  <si>
    <t>TRUTHIN</t>
  </si>
  <si>
    <t>MX</t>
  </si>
  <si>
    <t>line 187</t>
  </si>
  <si>
    <t>UBSV</t>
  </si>
  <si>
    <t>QSV</t>
  </si>
  <si>
    <t>QDAMSV</t>
  </si>
  <si>
    <t>CARTWLSV</t>
  </si>
  <si>
    <t>CMPNDSV</t>
  </si>
  <si>
    <t>THNCHLSV</t>
  </si>
  <si>
    <t>SOFTSHATSV</t>
  </si>
  <si>
    <t>THKTHNSV</t>
  </si>
  <si>
    <t>line 198</t>
  </si>
  <si>
    <t>=UB</t>
  </si>
  <si>
    <t>=Q</t>
  </si>
  <si>
    <t>=QDAM</t>
  </si>
  <si>
    <t>=CARTWL</t>
  </si>
  <si>
    <t>=CMPND</t>
  </si>
  <si>
    <t>=THNCHL</t>
  </si>
  <si>
    <t>=SOFTSHAT</t>
  </si>
  <si>
    <t>=THKTHN</t>
  </si>
  <si>
    <t>line 224</t>
  </si>
  <si>
    <t>TP</t>
  </si>
  <si>
    <t>line 235</t>
  </si>
  <si>
    <t>WD</t>
  </si>
  <si>
    <t>CMT</t>
  </si>
  <si>
    <t>MTLBACK</t>
  </si>
  <si>
    <t>line 245</t>
  </si>
  <si>
    <t>BKEFF</t>
  </si>
  <si>
    <t>BTP</t>
  </si>
  <si>
    <t>NBK</t>
  </si>
  <si>
    <t>QBK</t>
  </si>
  <si>
    <t>Wrought Iron (Q = 0.6)</t>
  </si>
  <si>
    <t>Mild (Medium) Steel through WW1 (Q = 0.7)</t>
  </si>
  <si>
    <t>High Tensile Steel through WW1, Nickel Steel, Post-WW1 Mild Steel (Q = 0.8)</t>
  </si>
  <si>
    <t>Post-WW1 High Tensile Steel &amp; British/Japanese Ducol (D) Steel (Q = 0.9)</t>
  </si>
  <si>
    <t>= maximum selection number for that selection</t>
  </si>
  <si>
    <t>line 263</t>
  </si>
  <si>
    <t>TEFF</t>
  </si>
  <si>
    <t>HARD</t>
  </si>
  <si>
    <t>CAPHDRMV</t>
  </si>
  <si>
    <t>line 434</t>
  </si>
  <si>
    <t>MAXOB</t>
  </si>
  <si>
    <t>TPCAL</t>
  </si>
  <si>
    <t>OBRAD</t>
  </si>
  <si>
    <t>line 442</t>
  </si>
  <si>
    <t>CAPHDLOSS</t>
  </si>
  <si>
    <t>TOTHNFLG</t>
  </si>
  <si>
    <t>line 464</t>
  </si>
  <si>
    <t>SKIPSHTR</t>
  </si>
  <si>
    <t>SHATPRT</t>
  </si>
  <si>
    <t>SHAT</t>
  </si>
  <si>
    <t>CART</t>
  </si>
  <si>
    <t>IF SKIPSHTR = 1 GOTO IRONPROJ</t>
  </si>
  <si>
    <t>IF SKIPSHTR = 2 GOTO CASTIRONCMPND</t>
  </si>
  <si>
    <t>REGULAR SET SHATR LOGIC</t>
  </si>
  <si>
    <t>line 508</t>
  </si>
  <si>
    <t>TOOTHICK</t>
  </si>
  <si>
    <t>line 525</t>
  </si>
  <si>
    <t>NSSHAT</t>
  </si>
  <si>
    <t>CASTIRONCMPND</t>
  </si>
  <si>
    <t>line 535</t>
  </si>
  <si>
    <t>Cap works?</t>
  </si>
  <si>
    <t>SHATRPRT</t>
  </si>
  <si>
    <t>line 562</t>
  </si>
  <si>
    <t>MINSHVEL</t>
  </si>
  <si>
    <t>VNOSHATMAX</t>
  </si>
  <si>
    <t>IRONPROJ</t>
  </si>
  <si>
    <t>line 571</t>
  </si>
  <si>
    <t>HF</t>
  </si>
  <si>
    <t>DO THE MATH!!!</t>
  </si>
  <si>
    <t>DEN</t>
  </si>
  <si>
    <t>PPLUS</t>
  </si>
  <si>
    <t>PLM</t>
  </si>
  <si>
    <t>final PLM</t>
  </si>
  <si>
    <t>intermediate PLM</t>
  </si>
  <si>
    <t>MAXPLM</t>
  </si>
  <si>
    <t>PDM</t>
  </si>
  <si>
    <t>final PDM</t>
  </si>
  <si>
    <t>DAMCHK</t>
  </si>
  <si>
    <t>final modifications</t>
  </si>
  <si>
    <t>PENCONST#</t>
  </si>
  <si>
    <t>initial CRTAPR</t>
  </si>
  <si>
    <t>final CRTAPR</t>
  </si>
  <si>
    <t>initial OBCRIT</t>
  </si>
  <si>
    <t>final OBCRIT</t>
  </si>
  <si>
    <t>PNLPR</t>
  </si>
  <si>
    <t>initial PNL</t>
  </si>
  <si>
    <t>final PNL</t>
  </si>
  <si>
    <t>PNI</t>
  </si>
  <si>
    <t>initial PNLSHAT</t>
  </si>
  <si>
    <t>second PNLSHAT</t>
  </si>
  <si>
    <t>third PNLSHAT</t>
  </si>
  <si>
    <t>fourth PNLSHAT</t>
  </si>
  <si>
    <t>final PNLSHAT</t>
  </si>
  <si>
    <t>initial PSHMAX</t>
  </si>
  <si>
    <t>final PSHMAX</t>
  </si>
  <si>
    <t>VLND</t>
  </si>
  <si>
    <t>SHATVDF</t>
  </si>
  <si>
    <t>VLSHATMAX</t>
  </si>
  <si>
    <t>initial VHSHAT</t>
  </si>
  <si>
    <t>final VHSHAT</t>
  </si>
  <si>
    <t>VLSHAT</t>
  </si>
  <si>
    <t>final POIMOD</t>
  </si>
  <si>
    <t>SWAPFLG</t>
  </si>
  <si>
    <t>VLTRUWK</t>
  </si>
  <si>
    <t>initial VLTRU</t>
  </si>
  <si>
    <t>second VLTRU</t>
  </si>
  <si>
    <t>final VLTRU</t>
  </si>
  <si>
    <t>initial VITRU</t>
  </si>
  <si>
    <t>final VITRU</t>
  </si>
  <si>
    <t>VSCRIT</t>
  </si>
  <si>
    <t>line 579</t>
  </si>
  <si>
    <t>default values</t>
  </si>
  <si>
    <t>PENFLG</t>
  </si>
  <si>
    <t>OB45</t>
  </si>
  <si>
    <t>CRVFLAG</t>
  </si>
  <si>
    <t>VSCHECK</t>
  </si>
  <si>
    <t>initial EXMIN</t>
  </si>
  <si>
    <t>final EXMIN</t>
  </si>
  <si>
    <t>MAXDFDEG</t>
  </si>
  <si>
    <t>MAXDF</t>
  </si>
  <si>
    <t>SNCSMAX</t>
  </si>
  <si>
    <t>VLMT</t>
  </si>
  <si>
    <t>VHOL</t>
  </si>
  <si>
    <t>VSCHKFLG</t>
  </si>
  <si>
    <t>XDAM</t>
  </si>
  <si>
    <t>VRATMIN</t>
  </si>
  <si>
    <t>EX</t>
  </si>
  <si>
    <t>EXRAD</t>
  </si>
  <si>
    <t>OBDF</t>
  </si>
  <si>
    <t>IF</t>
  </si>
  <si>
    <t>ELSE</t>
  </si>
  <si>
    <t>ELSEIF</t>
  </si>
  <si>
    <t>CRVRL</t>
  </si>
  <si>
    <t>OBRK</t>
  </si>
  <si>
    <t>SHTRSFLG</t>
  </si>
  <si>
    <t>initial BRK</t>
  </si>
  <si>
    <t>final BRK</t>
  </si>
  <si>
    <t>initial NSBRK</t>
  </si>
  <si>
    <t>VRPR</t>
  </si>
  <si>
    <t>KETOTAL</t>
  </si>
  <si>
    <t>KEPUNCH</t>
  </si>
  <si>
    <t>KE1</t>
  </si>
  <si>
    <t>V1</t>
  </si>
  <si>
    <t>VSPR</t>
  </si>
  <si>
    <t>KEVSPR</t>
  </si>
  <si>
    <t>KEOBMNSEX</t>
  </si>
  <si>
    <t>KE2</t>
  </si>
  <si>
    <t>V2</t>
  </si>
  <si>
    <t>BFRACT</t>
  </si>
  <si>
    <t>VRSHATNS</t>
  </si>
  <si>
    <t>VDFCALC</t>
  </si>
  <si>
    <t>initial TOPVEL</t>
  </si>
  <si>
    <t>final TOPVEL</t>
  </si>
  <si>
    <t>KENBL</t>
  </si>
  <si>
    <t>KE1NBL</t>
  </si>
  <si>
    <t>V1NBL</t>
  </si>
  <si>
    <t>VNPLUGNBL</t>
  </si>
  <si>
    <t>VNBLPR</t>
  </si>
  <si>
    <t>KENBLPR</t>
  </si>
  <si>
    <t>KENOME</t>
  </si>
  <si>
    <t>KE2NBL</t>
  </si>
  <si>
    <t>V2NBL</t>
  </si>
  <si>
    <t>sub</t>
  </si>
  <si>
    <t>line number</t>
  </si>
  <si>
    <t>OBMULT</t>
  </si>
  <si>
    <t>INITVALHDR</t>
  </si>
  <si>
    <t>GETPLATETHICKNESS</t>
  </si>
  <si>
    <t>PRNTARMR</t>
  </si>
  <si>
    <t>ARMORINFO</t>
  </si>
  <si>
    <t>GRSNHRVYTC</t>
  </si>
  <si>
    <t>CHGARMRPRNT</t>
  </si>
  <si>
    <t>THINSELECT</t>
  </si>
  <si>
    <t>ARMORBACK</t>
  </si>
  <si>
    <t>GETPROJDWTWB</t>
  </si>
  <si>
    <t>THINPRINT</t>
  </si>
  <si>
    <t>OBHDSAPCAP</t>
  </si>
  <si>
    <t>OBINPUT</t>
  </si>
  <si>
    <t>SCALEFACTOR</t>
  </si>
  <si>
    <t>SETOBMULT</t>
  </si>
  <si>
    <t>PROJQMODS</t>
  </si>
  <si>
    <t>CALCVDF</t>
  </si>
  <si>
    <t>SHTRMULTSELECT</t>
  </si>
  <si>
    <t>MODIFYVDF</t>
  </si>
  <si>
    <t>PROJNATION</t>
  </si>
  <si>
    <t>BACKPRINT</t>
  </si>
  <si>
    <t>DEFLECCALC</t>
  </si>
  <si>
    <t>SHATRDAM</t>
  </si>
  <si>
    <t>NOSEDAM</t>
  </si>
  <si>
    <t>NOSEBROKE</t>
  </si>
  <si>
    <t>DOCRTGOOD</t>
  </si>
  <si>
    <t>BENDLOGIC</t>
  </si>
  <si>
    <t>PLUGCALC</t>
  </si>
  <si>
    <t>PENVRVPLGCALC</t>
  </si>
  <si>
    <t>PENPRINT</t>
  </si>
  <si>
    <t>NSBDYDAMPRNT</t>
  </si>
  <si>
    <t>IMPACTPRNT</t>
  </si>
  <si>
    <t>PROJMOTIONPRNT</t>
  </si>
  <si>
    <t>SPLNTRPRNT</t>
  </si>
  <si>
    <t>REMVELPRNT</t>
  </si>
  <si>
    <t>THRESHOLDCALC</t>
  </si>
  <si>
    <t>NUMVALHDR</t>
  </si>
  <si>
    <t>SHOWORIGARMR</t>
  </si>
  <si>
    <t>SETVALUE</t>
  </si>
  <si>
    <t>YESNO</t>
  </si>
  <si>
    <t>LMTSTRINGS</t>
  </si>
  <si>
    <t>EFFVELINIT</t>
  </si>
  <si>
    <t>MINEVSHATCALC</t>
  </si>
  <si>
    <t>SETMINEV</t>
  </si>
  <si>
    <t>DAMAGESETUP</t>
  </si>
  <si>
    <t>if</t>
  </si>
  <si>
    <t>else</t>
  </si>
  <si>
    <t>elseif</t>
  </si>
  <si>
    <t>N2</t>
  </si>
  <si>
    <t>H1</t>
  </si>
  <si>
    <t>H2</t>
  </si>
  <si>
    <t>N3</t>
  </si>
  <si>
    <t>H3</t>
  </si>
  <si>
    <t>N1</t>
  </si>
  <si>
    <t>N4</t>
  </si>
  <si>
    <t>H4</t>
  </si>
  <si>
    <t>!#</t>
  </si>
  <si>
    <t>-</t>
  </si>
  <si>
    <t>!</t>
  </si>
  <si>
    <t>#</t>
  </si>
  <si>
    <t>initial PENFLG</t>
  </si>
  <si>
    <t>final PENFLG</t>
  </si>
  <si>
    <t>second PENFLG</t>
  </si>
  <si>
    <t>third PENFLG</t>
  </si>
  <si>
    <t>initial OB45</t>
  </si>
  <si>
    <t>second OB45</t>
  </si>
  <si>
    <t>final OB45</t>
  </si>
  <si>
    <t>initial EX</t>
  </si>
  <si>
    <t>second EX</t>
  </si>
  <si>
    <t>final EX</t>
  </si>
  <si>
    <t>EXNBL</t>
  </si>
  <si>
    <t>case 1</t>
  </si>
  <si>
    <t>VITRU</t>
  </si>
  <si>
    <t>final NSSHAT</t>
  </si>
  <si>
    <t>first IF</t>
  </si>
  <si>
    <t>second NSBRK</t>
  </si>
  <si>
    <t>FOR EX ON LINE 1261</t>
  </si>
  <si>
    <t>second BRK</t>
  </si>
  <si>
    <t>third BRK</t>
  </si>
  <si>
    <t>initial BDYDM</t>
  </si>
  <si>
    <t>final BDYDM</t>
  </si>
  <si>
    <t>VELLTRU = VLTRU</t>
  </si>
  <si>
    <t>VELLSHAT = VLSHAT</t>
  </si>
  <si>
    <t>VELLSHATMAX = VLSHATMAX</t>
  </si>
  <si>
    <t>VELLND = VLND</t>
  </si>
  <si>
    <t>VELHTRU = VHTRU</t>
  </si>
  <si>
    <t>VELHSHAT = VHSHAT</t>
  </si>
  <si>
    <t>VELHSHATMAX = VHSHATMAX</t>
  </si>
  <si>
    <t>VELHND = VHND</t>
  </si>
  <si>
    <t>MINEV</t>
  </si>
  <si>
    <t>NSFLG</t>
  </si>
  <si>
    <t>CRITVEL</t>
  </si>
  <si>
    <t>NOSEVEL</t>
  </si>
  <si>
    <t>NVRFLAG</t>
  </si>
  <si>
    <t>MINEV2</t>
  </si>
  <si>
    <t>MINEV3</t>
  </si>
  <si>
    <t>MINEV4</t>
  </si>
  <si>
    <t>MINEV5</t>
  </si>
  <si>
    <t>NSTEST</t>
  </si>
  <si>
    <t>NSTESTV</t>
  </si>
  <si>
    <t>initialization:</t>
  </si>
  <si>
    <t>FOR APCRITICALV</t>
  </si>
  <si>
    <t>FOR NSCRITICALV</t>
  </si>
  <si>
    <t>NSV</t>
  </si>
  <si>
    <t>NSVEL</t>
  </si>
  <si>
    <t>' BALLISTIC LIMIT DEFINITION STRINGS FOR PAGE 2 OF RESULTS DEFINED HERE</t>
  </si>
  <si>
    <t>RESNOTE$ = " BL USED FOR PENETRATION MARKED BY '-!-'/BL USED FOR POST-IMPACT LOGIC BY '-#-'"</t>
  </si>
  <si>
    <t>'****</t>
  </si>
  <si>
    <t>NBL1$ = "N1&gt; Navy BL w/o shatter, but all other damage &amp; given AP cap ="</t>
  </si>
  <si>
    <t>NBL2$ = "N2&gt; Navy BL w/  shatter  and all other damage &amp; given AP cap ="</t>
  </si>
  <si>
    <t>NBL3$ = "(Worst (maximum) NBL at low OB; replaces N1 when OB &lt;= 45 deg and N2 &lt; N1)"</t>
  </si>
  <si>
    <t>NBL4$ = "N3&gt; Navy BL w/  shatter, but no  other damage &amp; given AP cap ="</t>
  </si>
  <si>
    <t>NBL5$ = "(Replaces N2 (&amp; N1/N4 if N2 does) @ NBL or VS if no    shatter-changing damage)"</t>
  </si>
  <si>
    <t>NBL6$ = "N4&gt; Navy BL if unshattered/undeformed body and given AP cap  ="</t>
  </si>
  <si>
    <t>NBL7$ = "(Best (minimum) NBL; replaces N1 @ NBL or VS if no penetration-changing damage)"</t>
  </si>
  <si>
    <t>HBL1$ = "H1&gt; Holing BL without shatter using given AP cap             ="</t>
  </si>
  <si>
    <t>HBL2$ = "(Unshattered HBL if &lt; H2 and non-shatter damage reduces penetration @ HBL)"</t>
  </si>
  <si>
    <t>HBL3$ = "(Includes Japanese uncapped Type 91 AP projectile w/cap head in place)"</t>
  </si>
  <si>
    <t>HBL4$ = "H2&gt; Holing BL with shatter (AP cap, if any, did not work)    ="</t>
  </si>
  <si>
    <t>HBL5$ = "(Replaces H1 if H2 &lt;= H1 (smaller hole) or other damage adds to shatter @ HBL)"</t>
  </si>
  <si>
    <t>HBL6$ = "H3&gt; Holing BL with shatter, but no other kind of damage      ="</t>
  </si>
  <si>
    <t>HBL7$ = "(Best high-OB HBL; replaces H2 @ HBL or VS if no     shatter-changing damage)"</t>
  </si>
  <si>
    <t>HBL8$ = "H4&gt; Holing BL if unshattered/undeformed body &amp; given AP cap  ="</t>
  </si>
  <si>
    <t>HBL9$ = "(Best low -OB HBL; replaces H1 @ HBL or VS if no penetration-changing damage)"</t>
  </si>
  <si>
    <t>FLAKE$</t>
  </si>
  <si>
    <t>BDYDM1</t>
  </si>
  <si>
    <t>ND</t>
  </si>
  <si>
    <t>BDYDM2</t>
  </si>
  <si>
    <t>BD1</t>
  </si>
  <si>
    <t>BDYDM3</t>
  </si>
  <si>
    <t>BDYDM4</t>
  </si>
  <si>
    <t>BDYDM5</t>
  </si>
  <si>
    <t>NSBRK1</t>
  </si>
  <si>
    <t>NOPRNT</t>
  </si>
  <si>
    <t>print:</t>
  </si>
  <si>
    <t>WBL1</t>
  </si>
  <si>
    <t>WBL2</t>
  </si>
  <si>
    <t>WBL3</t>
  </si>
  <si>
    <t>WBL4</t>
  </si>
  <si>
    <t>EFFPRINT1</t>
  </si>
  <si>
    <t>IF #1</t>
  </si>
  <si>
    <t>SUBEND</t>
  </si>
  <si>
    <t>IF #2</t>
  </si>
  <si>
    <t>MTMP</t>
  </si>
  <si>
    <t>NOTE5A</t>
  </si>
  <si>
    <t>NOTE5B</t>
  </si>
  <si>
    <t>USUALLY MINOR PROJ DAMAGE IF PLATE HOLED BELOW NBL; BREAKAGE LIKELY IF NO HOLE</t>
  </si>
  <si>
    <t>USUALLY MINOR PROJ DAMAGE IF PLATE HIT BELOW NBL, WITH OR WITHOUT A HOLE</t>
  </si>
  <si>
    <t>initial NOTE5</t>
  </si>
  <si>
    <t>final NOTE5</t>
  </si>
  <si>
    <t>second NOTE5</t>
  </si>
  <si>
    <t>third IF</t>
  </si>
  <si>
    <t>fourth IF</t>
  </si>
  <si>
    <t>VEL</t>
  </si>
  <si>
    <t>IF #3</t>
  </si>
  <si>
    <t>NOTE1</t>
  </si>
  <si>
    <t>NOTE2</t>
  </si>
  <si>
    <t>NOTE3</t>
  </si>
  <si>
    <t>IF #4</t>
  </si>
  <si>
    <t>EFFVEL</t>
  </si>
  <si>
    <t>PAND</t>
  </si>
  <si>
    <t>HBLTONBL</t>
  </si>
  <si>
    <t>NOTE4</t>
  </si>
  <si>
    <t>IF #5</t>
  </si>
  <si>
    <t>IF #6</t>
  </si>
  <si>
    <t>IF #7</t>
  </si>
  <si>
    <t>IF #8</t>
  </si>
  <si>
    <t>EFFPRINT2</t>
  </si>
  <si>
    <t>IF #9</t>
  </si>
  <si>
    <t>print</t>
  </si>
  <si>
    <t xml:space="preserve"> BL USED FOR PENETRATION MARKED BY '-!-'/BL USED FOR POST-IMPACT LOGIC BY '-#-'</t>
  </si>
  <si>
    <t>=CONCATENATE(</t>
  </si>
  <si>
    <t>N1&gt; Navy BL w/o shatter, but all other damage &amp; given AP cap =</t>
  </si>
  <si>
    <t>N2&gt; Navy BL w/  shatter  and all other damage &amp; given AP cap =</t>
  </si>
  <si>
    <t>"(Worst (maximum) NBL at low OB; replaces N1 when OB &lt;= 45 deg and N2 &lt; N1)"</t>
  </si>
  <si>
    <t>N3&gt; Navy BL w/  shatter, but no  other damage &amp; given AP cap =</t>
  </si>
  <si>
    <t>(Worst (maximum) NBL at low OB; replaces N1 when OB &lt;= 45 deg and N2 &lt; N1)</t>
  </si>
  <si>
    <t>(Replaces N2 (&amp; N1/N4 if N2 does) @ NBL or VS if no    shatter-changing damage)</t>
  </si>
  <si>
    <t>N4&gt; Navy BL if unshattered/undeformed body and given AP cap  =</t>
  </si>
  <si>
    <t>(Best (minimum) NBL; replaces N1 @ NBL or VS if no penetration-changing damage)</t>
  </si>
  <si>
    <t>H1&gt; Holing BL without shatter using given AP cap             =</t>
  </si>
  <si>
    <t>(Unshattered HBL if &lt; H2 and non-shatter damage reduces penetration @ HBL), (Includes Japanese uncapped Type 91 AP projectile w/cap head in place)</t>
  </si>
  <si>
    <t>H2&gt; Holing BL with shatter (AP cap, if any, did not work)    =</t>
  </si>
  <si>
    <t>(Replaces H1 if H2 &lt;= H1 (smaller hole) or other damage adds to shatter @ HBL)</t>
  </si>
  <si>
    <t>H3&gt; Holing BL with shatter, but no other kind of damage      =</t>
  </si>
  <si>
    <t>(Best high-OB HBL; replaces H2 @ HBL or VS if no     shatter-changing damage)</t>
  </si>
  <si>
    <t>H4&gt; Holing BL if unshattered/undeformed body &amp; given AP cap  =</t>
  </si>
  <si>
    <t>(Best low -OB HBL; replaces H1 @ HBL or VS if no penetration-changing damage)</t>
  </si>
  <si>
    <t>Effective BL              =</t>
  </si>
  <si>
    <t>FOR EXNBL ON LINE 1268 IF SHAT = 1</t>
  </si>
  <si>
    <t>Exit angle, degrees                   =</t>
  </si>
  <si>
    <t>case:</t>
  </si>
  <si>
    <t>PEN1</t>
  </si>
  <si>
    <t>PEN2</t>
  </si>
  <si>
    <t>PEN3</t>
  </si>
  <si>
    <t>NO HOLING OF PLATE: Only impact shock &amp; plate distortion damage behind plate</t>
  </si>
  <si>
    <t xml:space="preserve"> due to ductile plate &amp;/or a plate backing layer (Projectile may be damaged)</t>
  </si>
  <si>
    <t>NO HOLING OF PLATE: Impact shock &amp; plate distortion &amp; thrown splinters cause</t>
  </si>
  <si>
    <t xml:space="preserve"> damage behind this brittle plate w/o any backing (Projectile may be damaged)</t>
  </si>
  <si>
    <t>PLATE HOLED AND NORMAL PLUG PUNCHED OUT, BUT INTACT PROJECTILE REJECTED</t>
  </si>
  <si>
    <t xml:space="preserve"> (No significant projectile damage suffered due to impact)</t>
  </si>
  <si>
    <t xml:space="preserve"> Proj might imbed in plate near NBL. If so, filler may cause damage thru plate.</t>
  </si>
  <si>
    <t>PLATE HOLED AND NORMAL PLUG PUNCHED OUT, BUT DAMAGED PROJECTILE REJECTED</t>
  </si>
  <si>
    <t xml:space="preserve"> (If nose breaks up at OB&lt;45 deg, part of nose (&lt;= 33% body weight) penetrates)</t>
  </si>
  <si>
    <t>PARTIAL PENETRATION: Broken-up lower body (= 50% body weight) penetrates, but</t>
  </si>
  <si>
    <t xml:space="preserve"> projectile nose ricochets (Major damage behind plate if filler explodes/burns)</t>
  </si>
  <si>
    <t>PARTIAL PENETRATION: Broken-up nose &amp; upper body (= 50% body weight) penetrate,</t>
  </si>
  <si>
    <t xml:space="preserve"> but projectile lower body rejected (Filler rarely has any effect behind plate)</t>
  </si>
  <si>
    <t>COMPLETE PENETRATION ACHIEVED: If Exit Angle &gt; 0, Delta Plug pieces ejected</t>
  </si>
  <si>
    <t xml:space="preserve"> (If projectile is broken up, at least 80% of body weight exits plate back)</t>
  </si>
  <si>
    <t xml:space="preserve">                                               &amp; Delta =</t>
  </si>
  <si>
    <t>Plug Weights, pounds: Normal =</t>
  </si>
  <si>
    <t>Normal Plug Velocity, ft/sec, =</t>
  </si>
  <si>
    <t>RVU</t>
  </si>
  <si>
    <t>DPLG</t>
  </si>
  <si>
    <t>BSNS1</t>
  </si>
  <si>
    <t>BSNS2</t>
  </si>
  <si>
    <t>BSNS3</t>
  </si>
  <si>
    <t>ONEPC</t>
  </si>
  <si>
    <t>PRINT</t>
  </si>
  <si>
    <t>Projectile Remaining Velocity NOT DEFINED</t>
  </si>
  <si>
    <t>No Part of Projectile completely penetrates plate.</t>
  </si>
  <si>
    <t xml:space="preserve">Nose Pieces </t>
  </si>
  <si>
    <t>Projectile Body up to forward bourrelet fails to completely penetrate.</t>
  </si>
  <si>
    <t>No Part of Projectile completely penetrates plate."</t>
  </si>
  <si>
    <t xml:space="preserve">Nose &amp; Upper Body </t>
  </si>
  <si>
    <t>Nose Pieces &amp; Upper Body</t>
  </si>
  <si>
    <t>Projectile Lower Body fails to completely penetrate.</t>
  </si>
  <si>
    <t>If Projectile Body not broken up, No Part of Projectile completely penetrates.</t>
  </si>
  <si>
    <t>Projectile Lower Body Pieces fail to completely penetrate.</t>
  </si>
  <si>
    <t xml:space="preserve">Lower Body </t>
  </si>
  <si>
    <t xml:space="preserve">If Proj not broken, it </t>
  </si>
  <si>
    <t xml:space="preserve">Nose Pieces &amp; Upper Body </t>
  </si>
  <si>
    <t xml:space="preserve">Entire Projectile </t>
  </si>
  <si>
    <t xml:space="preserve">Nose &amp; Upper Body Pieces </t>
  </si>
  <si>
    <t xml:space="preserve">Lower Body Pieces </t>
  </si>
  <si>
    <t xml:space="preserve">All Projectile Pieces </t>
  </si>
  <si>
    <t>Entire Projectile ricochets off of plate.</t>
  </si>
  <si>
    <t>Projectile Nose &amp; Upper Body ricochet off of plate.</t>
  </si>
  <si>
    <t xml:space="preserve">Lower Body &amp; Some Nose Pieces </t>
  </si>
  <si>
    <t>Most of Projectile Nose &amp; Upper Body Pieces ricochet off of plate.</t>
  </si>
  <si>
    <t>If Projectile Body not broken up, All of Projectile ricochets off of plate.</t>
  </si>
  <si>
    <t xml:space="preserve">All Pieces </t>
  </si>
  <si>
    <t xml:space="preserve">All Nose Pieces </t>
  </si>
  <si>
    <t xml:space="preserve">Body Pieces </t>
  </si>
  <si>
    <t>Projectile Body does not completely penetrate.</t>
  </si>
  <si>
    <t xml:space="preserve">Body &amp; Some Nose Pieces </t>
  </si>
  <si>
    <t xml:space="preserve">Most Nose Pieces </t>
  </si>
  <si>
    <t>Most Projectile Nose Pieces do not completely penetrate.</t>
  </si>
  <si>
    <t>REMVEL</t>
  </si>
  <si>
    <t>"="</t>
  </si>
  <si>
    <t>"ft/sec"</t>
  </si>
  <si>
    <t>ARE VERY SLOW</t>
  </si>
  <si>
    <t>ft/sec</t>
  </si>
  <si>
    <t>"has"</t>
  </si>
  <si>
    <t>"have"</t>
  </si>
  <si>
    <t xml:space="preserve"> Remaining Velocity =</t>
  </si>
  <si>
    <t xml:space="preserve"> VERY SLOW Remaining Velocity</t>
  </si>
  <si>
    <t>FROM 1141, PRINT IN ORDER</t>
  </si>
  <si>
    <t>All Special Treatment (homogeneous Krupp-armor grade) Steels (Q = 1.0)</t>
  </si>
  <si>
    <t>Cap/hood weight (lb)</t>
  </si>
  <si>
    <t>endif</t>
  </si>
  <si>
    <t xml:space="preserve"> </t>
  </si>
  <si>
    <t>Wood backing thickness (in)</t>
  </si>
  <si>
    <t>Cement backing thickness (in)</t>
  </si>
  <si>
    <t>Metal backing thickness(in)</t>
  </si>
  <si>
    <t>Metal backing type</t>
  </si>
  <si>
    <t>Number of laminated metal backing plates</t>
  </si>
  <si>
    <t>Effective plate thickness (in) ('Q' + backing) =</t>
  </si>
  <si>
    <t>=IF(AND(BLPLUSEX!B104 &lt; 2,DAMAGECALC!B12 = 0),IFS(AND('Projectile Data'!AP4 &gt; 0,OR('Armor Data'!AM4 = 0,AND('Armor Data'!AM4 = 1,DAMAGECALC!B9 = 1))),5,AND('Ins&amp;Outs'!B28 &gt; DAMAGECALC!B3,OR(BLPLUSEX!B104 = 0,'Projectile Data'!AQ4 &gt; 0)),6,CALCBL!B65 &gt; BLPLUSEX!I94,3,1=1,DAMAGECALC!B12),DAMAGECALC!B12)</t>
  </si>
  <si>
    <t>=IFS('main calculation sheet'!B63 = 2,0,AND(DAMAGECALC!B5 = 1,'Projectile Data'!AP4 = 0),0,AND(OR('main calculation sheet'!B63 = 1,'main calculation sheet'!B63 = 4),'Ins&amp;Outs'!B25 &gt;= BLPLUSEX!I94),0,1=1,DAMAGECALC!B13)</t>
  </si>
  <si>
    <t>=IF(CALCBL!B65 = -1,BENDLOGIC!B3,IF(AND('Ins&amp;Outs'!B25 &lt; CALCBL!B65,DAMAGECALC!B11 = 0,BLPLUSEX!B104 = 2),3,B11))</t>
  </si>
  <si>
    <t>BL in f/s</t>
  </si>
  <si>
    <t>H1 through H4 are the possible cases for Holing Ballistic Limits.</t>
  </si>
  <si>
    <t>N1 through N4 are the possible cases for Navy Ballistic Limits.</t>
  </si>
  <si>
    <t>The program selects the appropriate cases, as indicated by ! and #.</t>
  </si>
  <si>
    <t>Copyrighted by Adam Clark</t>
  </si>
  <si>
    <t>Results - Please Do Not Change the Values in This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</si>
</sst>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quotePrefix="1"/>
    <xf numFmtId="0" fontId="0" fillId="0" borderId="0" xfId="0" quotePrefix="1" applyAlignment="1">
      <alignment wrapText="1"/>
    </xf>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2" fillId="0" borderId="0" xfId="0" applyFon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microsoft.com/office/2023/09/relationships/Python" Target="pytho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43"/>
  <sheetViews>
    <sheetView tabSelected="1" zoomScale="70" zoomScaleNormal="70" workbookViewId="0">
      <selection activeCell="AA19" sqref="AA19"/>
    </sheetView>
  </sheetViews>
  <sheetFormatPr defaultRowHeight="14.4" x14ac:dyDescent="0.3"/>
  <sheetData>
    <row r="1" spans="1:21" x14ac:dyDescent="0.3">
      <c r="A1" t="s">
        <v>831</v>
      </c>
      <c r="L1" s="9"/>
    </row>
    <row r="2" spans="1:21" x14ac:dyDescent="0.3">
      <c r="L2" s="9"/>
    </row>
    <row r="3" spans="1:21" ht="21" x14ac:dyDescent="0.4">
      <c r="B3" s="8" t="s">
        <v>0</v>
      </c>
      <c r="L3" s="9"/>
      <c r="N3" s="8" t="s">
        <v>832</v>
      </c>
    </row>
    <row r="4" spans="1:21" ht="21" x14ac:dyDescent="0.4">
      <c r="B4" s="8"/>
      <c r="L4" s="9"/>
    </row>
    <row r="5" spans="1:21" x14ac:dyDescent="0.3">
      <c r="B5" s="3" t="s">
        <v>3</v>
      </c>
      <c r="F5" s="3" t="s">
        <v>7</v>
      </c>
      <c r="L5" s="9"/>
      <c r="N5" t="str">
        <f>PENPRINT!B35</f>
        <v>PARTIAL PENETRATION: Broken-up lower body (= 50% body weight) penetrates, but</v>
      </c>
    </row>
    <row r="6" spans="1:21" x14ac:dyDescent="0.3">
      <c r="B6" s="4">
        <v>15</v>
      </c>
      <c r="F6" s="4">
        <v>1</v>
      </c>
      <c r="L6" s="9"/>
      <c r="N6" t="str">
        <f>PENPRINT!B36</f>
        <v xml:space="preserve"> projectile nose ricochets (Major damage behind plate if filler explodes/burns)</v>
      </c>
    </row>
    <row r="7" spans="1:21" x14ac:dyDescent="0.3">
      <c r="L7" s="9"/>
      <c r="N7" t="str">
        <f>PENPRINT!B37</f>
        <v/>
      </c>
    </row>
    <row r="8" spans="1:21" x14ac:dyDescent="0.3">
      <c r="B8" s="3" t="s">
        <v>4</v>
      </c>
      <c r="F8" s="3" t="s">
        <v>818</v>
      </c>
      <c r="L8" s="9"/>
      <c r="N8" t="str">
        <f>NSBDYDAMPRNT!B3</f>
        <v>STANDARD SHATTER LOGIC USED</v>
      </c>
    </row>
    <row r="9" spans="1:21" x14ac:dyDescent="0.3">
      <c r="B9" s="4">
        <v>1917</v>
      </c>
      <c r="F9" s="4">
        <v>0</v>
      </c>
      <c r="L9" s="9"/>
      <c r="N9" t="str">
        <f>NSBDYDAMPRNT!B13</f>
        <v xml:space="preserve">Projectile nose broken and lower body damaged by impact. It is not 'effective' and lower body always suffers major internal damage.  </v>
      </c>
    </row>
    <row r="10" spans="1:21" x14ac:dyDescent="0.3">
      <c r="L10" s="9"/>
      <c r="N10" t="str">
        <f>NSBDYDAMPRNT!B14</f>
        <v xml:space="preserve"> Nose loses up to 33% body weight and what's left is much weaker.</v>
      </c>
    </row>
    <row r="11" spans="1:21" x14ac:dyDescent="0.3">
      <c r="B11" s="3" t="s">
        <v>815</v>
      </c>
      <c r="F11" s="3" t="s">
        <v>819</v>
      </c>
      <c r="L11" s="9"/>
      <c r="N11" t="s">
        <v>823</v>
      </c>
      <c r="U11" s="4">
        <f>'main calculation sheet'!B26</f>
        <v>0.877</v>
      </c>
    </row>
    <row r="12" spans="1:21" x14ac:dyDescent="0.3">
      <c r="B12" s="4">
        <v>203.75</v>
      </c>
      <c r="F12" s="4">
        <v>0</v>
      </c>
      <c r="L12" s="9"/>
      <c r="N12" t="s">
        <v>745</v>
      </c>
      <c r="U12" s="4">
        <f>INT(100 * BLPLUSEX!B108 +0.5) / 100</f>
        <v>28.11</v>
      </c>
    </row>
    <row r="13" spans="1:21" x14ac:dyDescent="0.3">
      <c r="L13" s="9"/>
      <c r="N13" t="str">
        <f>IF(BLPLUSEX!B104 &gt;= 2,PROJMOTIONPRNT!B8,"")</f>
        <v/>
      </c>
    </row>
    <row r="14" spans="1:21" x14ac:dyDescent="0.3">
      <c r="B14" s="3" t="s">
        <v>5</v>
      </c>
      <c r="F14" s="3" t="s">
        <v>820</v>
      </c>
      <c r="L14" s="9"/>
      <c r="N14" s="1" t="s">
        <v>766</v>
      </c>
      <c r="U14" s="4">
        <f>IF(FINALRESULTS!B5 &lt;= 0.05,"No plugs ejected from plate.",INT(10 * FINALRESULTS!B5 + 0.5) / 10)</f>
        <v>531.4</v>
      </c>
    </row>
    <row r="15" spans="1:21" x14ac:dyDescent="0.3">
      <c r="B15" s="4">
        <v>18</v>
      </c>
      <c r="F15" s="4">
        <v>0</v>
      </c>
      <c r="L15" s="9"/>
      <c r="N15" t="s">
        <v>765</v>
      </c>
      <c r="U15" s="4">
        <f>IF(FINALRESULTS!B5 &lt;= 0.05,"No plugs ejected from plate.",INT(10 * FINALRESULTS!B6 + 0.5) / 10)</f>
        <v>6.8</v>
      </c>
    </row>
    <row r="16" spans="1:21" x14ac:dyDescent="0.3">
      <c r="L16" s="9"/>
      <c r="N16" t="s">
        <v>767</v>
      </c>
      <c r="U16" s="4">
        <f>IF(FINALRESULTS!B5 &lt;= 0.05,"No plugs ejected from plate.",INT(FINALRESULTS!B19))</f>
        <v>252</v>
      </c>
    </row>
    <row r="17" spans="2:27" x14ac:dyDescent="0.3">
      <c r="B17" s="3" t="s">
        <v>10</v>
      </c>
      <c r="F17" s="3" t="s">
        <v>821</v>
      </c>
      <c r="L17" s="9"/>
    </row>
    <row r="18" spans="2:27" x14ac:dyDescent="0.3">
      <c r="B18" s="5" t="s">
        <v>226</v>
      </c>
      <c r="C18" s="6"/>
      <c r="D18" s="7"/>
      <c r="F18" s="5" t="s">
        <v>814</v>
      </c>
      <c r="G18" s="6"/>
      <c r="H18" s="6"/>
      <c r="I18" s="6"/>
      <c r="J18" s="7"/>
      <c r="K18" t="s">
        <v>817</v>
      </c>
      <c r="L18" s="9"/>
      <c r="N18" s="4" t="str">
        <f>IF(RESULTSPRINT!B4 &gt; 0,"IF PROJECTILE BODY BREAKS, ASSUME 50% OF BODY WEIGHT IN UPPER AND LOWER HALVES.","")</f>
        <v>IF PROJECTILE BODY BREAKS, ASSUME 50% OF BODY WEIGHT IN UPPER AND LOWER HALVES.</v>
      </c>
      <c r="O18" s="4"/>
      <c r="P18" s="4"/>
      <c r="Q18" s="4"/>
      <c r="R18" s="4"/>
      <c r="S18" s="4"/>
      <c r="T18" s="4"/>
      <c r="U18" s="4"/>
      <c r="V18" s="4"/>
    </row>
    <row r="19" spans="2:27" x14ac:dyDescent="0.3">
      <c r="L19" s="9"/>
    </row>
    <row r="20" spans="2:27" x14ac:dyDescent="0.3">
      <c r="B20" s="3" t="s">
        <v>1</v>
      </c>
      <c r="F20" s="3" t="s">
        <v>822</v>
      </c>
      <c r="L20" s="9"/>
      <c r="N20" s="4" t="str">
        <f>REMVELPRNT!B70</f>
        <v>Proj Remaining Velocity: Lower Body &amp; Some Nose Pieces &amp; Delta Plug = 593 ft/sec</v>
      </c>
      <c r="O20" s="4"/>
      <c r="P20" s="4"/>
      <c r="Q20" s="4"/>
      <c r="R20" s="4"/>
      <c r="S20" s="4"/>
      <c r="T20" s="4"/>
      <c r="U20" s="4"/>
    </row>
    <row r="21" spans="2:27" x14ac:dyDescent="0.3">
      <c r="B21" s="5" t="s">
        <v>64</v>
      </c>
      <c r="C21" s="6"/>
      <c r="D21" s="7"/>
      <c r="F21" s="4">
        <v>1</v>
      </c>
      <c r="L21" s="9"/>
      <c r="N21" t="str">
        <f>REMVELPRNT!B71</f>
        <v/>
      </c>
    </row>
    <row r="22" spans="2:27" x14ac:dyDescent="0.3">
      <c r="L22" s="9"/>
      <c r="N22" s="4" t="str">
        <f>REMVELPRNT!B72</f>
        <v>Most of Projectile Nose &amp; Upper Body Pieces ricochet off of plate.If Projectile Body not broken up, All of Projectile ricochets off of plate.</v>
      </c>
      <c r="O22" s="4"/>
      <c r="P22" s="4"/>
      <c r="Q22" s="4"/>
      <c r="R22" s="4"/>
      <c r="S22" s="4"/>
      <c r="T22" s="4"/>
      <c r="U22" s="4"/>
      <c r="V22" s="4"/>
      <c r="W22" s="4"/>
      <c r="X22" s="4"/>
      <c r="Y22" s="4"/>
      <c r="Z22" s="4"/>
      <c r="AA22" s="4"/>
    </row>
    <row r="23" spans="2:27" x14ac:dyDescent="0.3">
      <c r="B23" s="3" t="s">
        <v>2</v>
      </c>
      <c r="F23" s="3" t="s">
        <v>6</v>
      </c>
      <c r="L23" s="9"/>
    </row>
    <row r="24" spans="2:27" x14ac:dyDescent="0.3">
      <c r="B24" s="5" t="s">
        <v>257</v>
      </c>
      <c r="C24" s="6"/>
      <c r="D24" s="7"/>
      <c r="F24" s="4" t="s">
        <v>250</v>
      </c>
      <c r="L24" s="9"/>
      <c r="N24" s="4" t="s">
        <v>725</v>
      </c>
      <c r="O24" s="4"/>
      <c r="P24" s="4"/>
      <c r="Q24" s="4"/>
      <c r="R24" s="4"/>
      <c r="S24" s="4"/>
      <c r="T24" s="4"/>
      <c r="U24" s="4"/>
    </row>
    <row r="25" spans="2:27" x14ac:dyDescent="0.3">
      <c r="L25" s="9"/>
    </row>
    <row r="26" spans="2:27" x14ac:dyDescent="0.3">
      <c r="B26" s="3" t="s">
        <v>8</v>
      </c>
      <c r="F26" s="3" t="s">
        <v>11</v>
      </c>
      <c r="L26" s="9"/>
      <c r="U26" t="s">
        <v>827</v>
      </c>
    </row>
    <row r="27" spans="2:27" x14ac:dyDescent="0.3">
      <c r="B27" s="4">
        <v>1329</v>
      </c>
      <c r="F27" s="5" t="s">
        <v>227</v>
      </c>
      <c r="G27" s="7"/>
      <c r="L27" s="9"/>
      <c r="N27" t="s">
        <v>727</v>
      </c>
      <c r="U27" s="4">
        <f>CALCBL!B62</f>
        <v>6238</v>
      </c>
      <c r="V27" t="str">
        <f>BLPLUSEX!T94</f>
        <v/>
      </c>
    </row>
    <row r="28" spans="2:27" x14ac:dyDescent="0.3">
      <c r="L28" s="9"/>
      <c r="N28" t="s">
        <v>728</v>
      </c>
      <c r="U28" s="4">
        <f>CALCBL!B54</f>
        <v>239</v>
      </c>
      <c r="V28" t="str">
        <f>BLPLUSEX!U94</f>
        <v/>
      </c>
      <c r="W28" t="s">
        <v>731</v>
      </c>
    </row>
    <row r="29" spans="2:27" x14ac:dyDescent="0.3">
      <c r="B29" s="3" t="s">
        <v>9</v>
      </c>
      <c r="F29" s="3" t="s">
        <v>12</v>
      </c>
      <c r="L29" s="9"/>
      <c r="N29" t="s">
        <v>730</v>
      </c>
      <c r="U29" s="4">
        <f>CALCBL!B49</f>
        <v>239</v>
      </c>
      <c r="V29" t="str">
        <f>BLPLUSEX!V94</f>
        <v/>
      </c>
      <c r="W29" t="s">
        <v>732</v>
      </c>
    </row>
    <row r="30" spans="2:27" x14ac:dyDescent="0.3">
      <c r="B30" s="4">
        <v>77.2</v>
      </c>
      <c r="F30" s="5" t="s">
        <v>198</v>
      </c>
      <c r="G30" s="6"/>
      <c r="H30" s="6"/>
      <c r="I30" s="6"/>
      <c r="J30" s="7"/>
      <c r="K30" t="s">
        <v>817</v>
      </c>
      <c r="L30" s="9"/>
      <c r="N30" t="s">
        <v>733</v>
      </c>
      <c r="U30" s="4">
        <f>CALCBL!B43</f>
        <v>6238</v>
      </c>
      <c r="V30" t="str">
        <f>BLPLUSEX!W94</f>
        <v>!#</v>
      </c>
      <c r="W30" t="s">
        <v>734</v>
      </c>
    </row>
    <row r="31" spans="2:27" x14ac:dyDescent="0.3">
      <c r="L31" s="9"/>
      <c r="N31" t="s">
        <v>735</v>
      </c>
      <c r="U31" s="4">
        <f>MODIFYVDF!B29</f>
        <v>5453</v>
      </c>
      <c r="V31" t="str">
        <f>BLPLUSEX!P94</f>
        <v/>
      </c>
      <c r="W31" t="s">
        <v>736</v>
      </c>
    </row>
    <row r="32" spans="2:27" x14ac:dyDescent="0.3">
      <c r="B32" s="3" t="s">
        <v>451</v>
      </c>
      <c r="L32" s="9"/>
      <c r="N32" t="s">
        <v>737</v>
      </c>
      <c r="U32" s="4">
        <f>MODIFYVDF!B24</f>
        <v>239</v>
      </c>
      <c r="V32" t="str">
        <f>BLPLUSEX!Q94</f>
        <v/>
      </c>
      <c r="W32" t="s">
        <v>738</v>
      </c>
    </row>
    <row r="33" spans="2:23" x14ac:dyDescent="0.3">
      <c r="B33" s="4" t="s">
        <v>249</v>
      </c>
      <c r="L33" s="9"/>
      <c r="N33" t="s">
        <v>739</v>
      </c>
      <c r="U33" s="4">
        <f>MODIFYVDF!B25</f>
        <v>239</v>
      </c>
      <c r="V33" t="str">
        <f>BLPLUSEX!R94</f>
        <v>!#</v>
      </c>
      <c r="W33" t="s">
        <v>740</v>
      </c>
    </row>
    <row r="34" spans="2:23" x14ac:dyDescent="0.3">
      <c r="L34" s="9"/>
      <c r="N34" t="s">
        <v>741</v>
      </c>
      <c r="U34" s="4">
        <f>MODIFYVDF!B23</f>
        <v>5453</v>
      </c>
      <c r="V34" t="str">
        <f>BLPLUSEX!S94</f>
        <v/>
      </c>
      <c r="W34" t="s">
        <v>742</v>
      </c>
    </row>
    <row r="35" spans="2:23" x14ac:dyDescent="0.3">
      <c r="L35" s="9"/>
    </row>
    <row r="36" spans="2:23" x14ac:dyDescent="0.3">
      <c r="L36" s="9"/>
      <c r="N36" t="s">
        <v>743</v>
      </c>
      <c r="U36" s="4">
        <f>DAMAGESETUP!C51</f>
        <v>25114</v>
      </c>
      <c r="V36" t="str">
        <f>IF(DAMAGESETUP!C23 &lt;&gt;"",DAMAGESETUP!C23,DAMAGESETUP!C52)</f>
        <v/>
      </c>
    </row>
    <row r="37" spans="2:23" x14ac:dyDescent="0.3">
      <c r="L37" s="9"/>
      <c r="V37" t="str">
        <f>IF(DAMAGESETUP!C23 &lt;&gt;"","",DAMAGESETUP!C61)</f>
        <v/>
      </c>
    </row>
    <row r="38" spans="2:23" x14ac:dyDescent="0.3">
      <c r="L38" s="9"/>
      <c r="V38" t="str">
        <f>IF(DAMAGESETUP!C49 = 1,CALCBL!B27,"")</f>
        <v/>
      </c>
    </row>
    <row r="39" spans="2:23" x14ac:dyDescent="0.3">
      <c r="L39" s="9"/>
      <c r="N39" t="s">
        <v>829</v>
      </c>
      <c r="V39" t="str">
        <f>IF(DAMAGESETUP!B63 &lt;&gt;"",DAMAGESETUP!B63,"")</f>
        <v/>
      </c>
    </row>
    <row r="40" spans="2:23" x14ac:dyDescent="0.3">
      <c r="L40" s="9"/>
      <c r="V40" t="str">
        <f>IF(DAMAGESETUP!B63 &lt;&gt;"",DAMAGESETUP!B64,"")</f>
        <v/>
      </c>
    </row>
    <row r="41" spans="2:23" x14ac:dyDescent="0.3">
      <c r="L41" s="9"/>
      <c r="N41" t="s">
        <v>828</v>
      </c>
      <c r="V41" t="str">
        <f>IF(DAMAGESETUP!B65 &lt;&gt;"",DAMAGESETUP!B65,"")</f>
        <v/>
      </c>
    </row>
    <row r="42" spans="2:23" x14ac:dyDescent="0.3">
      <c r="L42" s="9"/>
      <c r="V42" t="str">
        <f>IF(DAMAGESETUP!C57 &lt;&gt;"",DAMAGESETUP!C57,"")</f>
        <v/>
      </c>
    </row>
    <row r="43" spans="2:23" x14ac:dyDescent="0.3">
      <c r="L43" s="9"/>
      <c r="N43" t="s">
        <v>830</v>
      </c>
      <c r="V43" t="str">
        <f>IF(SETUPSECPG!B46 &lt;&gt;"",SETUPSECPG!B46,"")</f>
        <v/>
      </c>
    </row>
  </sheetData>
  <mergeCells count="6">
    <mergeCell ref="B18:D18"/>
    <mergeCell ref="F18:J18"/>
    <mergeCell ref="B21:D21"/>
    <mergeCell ref="F30:J30"/>
    <mergeCell ref="B24:D24"/>
    <mergeCell ref="F27:G27"/>
  </mergeCells>
  <dataValidations disablePrompts="1" xWindow="107" yWindow="717" count="2">
    <dataValidation allowBlank="1" showInputMessage="1" showErrorMessage="1" prompt="&quot;  OBLIQUITY IS MEASURED SO THAT ZERO DEGREES IS AT RIGHT-ANGLES TO PLATE FACE.&quot;_x000a_&quot;  MAXIMUM OBLIQUITY FOR PLATE DAMAGE IS 75 DEG. (THICK) &amp; 80 DEG. (OTHERWISE).&quot;_x000a_&quot;  MAXIMUM OBLIQUITY FOR COMPLETE PENETRATION WITHOUT SHATTER IS 70 DEG.&quot;" sqref="B30" xr:uid="{3153817A-DBF1-4012-8055-3D0079BAAD21}"/>
    <dataValidation allowBlank="1" showInputMessage="1" showErrorMessage="1" prompt="SOFT AP CAPS AND HOODS HAVE A ZONE-OF-MIXED-RESULTS BETWEEN 15 AND 20 DEGREES OBLIQUITY. THIS SETS WHETHER THE CAP WORKS OR NOT._x000a_IT DOES NOT HAVE ANY EFFECT OUTSIDE THESE PARAMETERS." sqref="B33:E33" xr:uid="{EF500366-41C3-4D22-99E4-DA27548022BF}"/>
  </dataValidations>
  <pageMargins left="0.7" right="0.7" top="0.75" bottom="0.75" header="0.3" footer="0.3"/>
  <extLst>
    <ext xmlns:x14="http://schemas.microsoft.com/office/spreadsheetml/2009/9/main" uri="{CCE6A557-97BC-4b89-ADB6-D9C93CAAB3DF}">
      <x14:dataValidations xmlns:xm="http://schemas.microsoft.com/office/excel/2006/main" disablePrompts="1" xWindow="107" yWindow="717" count="8">
        <x14:dataValidation type="list" allowBlank="1" showInputMessage="1" showErrorMessage="1" xr:uid="{91F95739-1BD4-4D68-83DB-E76F9A37F394}">
          <x14:formula1>
            <xm:f>'Projectile Data'!$B$2:$B$9</xm:f>
          </x14:formula1>
          <xm:sqref>B18</xm:sqref>
        </x14:dataValidation>
        <x14:dataValidation type="list" allowBlank="1" showInputMessage="1" showErrorMessage="1" xr:uid="{3114828A-2B14-4EE0-A057-E1F7F7C2CF06}">
          <x14:formula1>
            <xm:f>'Projectile Data'!$V$3:$V$22</xm:f>
          </x14:formula1>
          <xm:sqref>B21</xm:sqref>
        </x14:dataValidation>
        <x14:dataValidation type="list" allowBlank="1" showInputMessage="1" showErrorMessage="1" xr:uid="{53FC2652-4192-4893-A32E-7266C3B5C3E1}">
          <x14:formula1>
            <xm:f>'Armor Data'!$B$2:$B$9</xm:f>
          </x14:formula1>
          <xm:sqref>F27</xm:sqref>
        </x14:dataValidation>
        <x14:dataValidation type="list" allowBlank="1" showInputMessage="1" showErrorMessage="1" xr:uid="{D5307CD3-3ECD-46AD-8646-BB0C7D47A2A7}">
          <x14:formula1>
            <xm:f>'Armor Data'!$V$3:$V$20</xm:f>
          </x14:formula1>
          <xm:sqref>F30</xm:sqref>
        </x14:dataValidation>
        <x14:dataValidation type="list" allowBlank="1" showInputMessage="1" showErrorMessage="1" xr:uid="{46E2D568-B423-480A-8B94-E966BECD2107}">
          <x14:formula1>
            <xm:f>'generic tables'!$B$2:$B$3</xm:f>
          </x14:formula1>
          <xm:sqref>F24</xm:sqref>
        </x14:dataValidation>
        <x14:dataValidation type="list" allowBlank="1" showInputMessage="1" showErrorMessage="1" xr:uid="{4A38EEA0-5244-40CE-887F-A81183F134A5}">
          <x14:formula1>
            <xm:f>'generic tables'!$B$15:$B$19</xm:f>
          </x14:formula1>
          <xm:sqref>F21</xm:sqref>
        </x14:dataValidation>
        <x14:dataValidation type="list" allowBlank="1" showInputMessage="1" showErrorMessage="1" xr:uid="{9C6542AE-F851-41E4-A842-164F42D6FD0F}">
          <x14:formula1>
            <xm:f>'generic tables'!$B$21:$B$25</xm:f>
          </x14:formula1>
          <xm:sqref>F18</xm:sqref>
        </x14:dataValidation>
        <x14:dataValidation type="list" allowBlank="1" showInputMessage="1" showErrorMessage="1" prompt="See 'Decapping Revisited' by Nathan Okun on the Navweaps website for more information on cap removal limits._x000a_http://navweaps.com/index_tech/tech-085.php" xr:uid="{6241431B-F713-4319-85F8-D5C7FA6821CA}">
          <x14:formula1>
            <xm:f>'generic tables'!$B$10:$B$12</xm:f>
          </x14:formula1>
          <xm:sqref>B24:D24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1334-1412-486D-94A2-B52E2DB8598F}">
  <sheetPr codeName="Sheet11"/>
  <dimension ref="A1:B12"/>
  <sheetViews>
    <sheetView workbookViewId="0">
      <selection activeCell="E43" sqref="E43"/>
    </sheetView>
  </sheetViews>
  <sheetFormatPr defaultRowHeight="14.4" x14ac:dyDescent="0.3"/>
  <cols>
    <col min="1" max="1" width="13.44140625" bestFit="1" customWidth="1"/>
  </cols>
  <sheetData>
    <row r="1" spans="1:2" x14ac:dyDescent="0.3">
      <c r="A1" t="s">
        <v>831</v>
      </c>
    </row>
    <row r="3" spans="1:2" x14ac:dyDescent="0.3">
      <c r="A3" t="s">
        <v>277</v>
      </c>
      <c r="B3">
        <f>'main calculation sheet'!B15</f>
        <v>0.877</v>
      </c>
    </row>
    <row r="4" spans="1:2" x14ac:dyDescent="0.3">
      <c r="A4" t="s">
        <v>279</v>
      </c>
      <c r="B4">
        <f>B3/'Ins&amp;Outs'!B6</f>
        <v>5.8466666666666667E-2</v>
      </c>
    </row>
    <row r="5" spans="1:2" x14ac:dyDescent="0.3">
      <c r="A5" t="s">
        <v>278</v>
      </c>
      <c r="B5">
        <f>IF(AND('Projectile Data'!AS4 = 2, B4 &gt; 0.67), 0.5, 0)</f>
        <v>0</v>
      </c>
    </row>
    <row r="6" spans="1:2" x14ac:dyDescent="0.3">
      <c r="A6" t="s">
        <v>280</v>
      </c>
      <c r="B6">
        <f>IF('Ins&amp;Outs'!B30 &gt; 60, 60, 'Ins&amp;Outs'!B30)</f>
        <v>60</v>
      </c>
    </row>
    <row r="7" spans="1:2" x14ac:dyDescent="0.3">
      <c r="A7" t="s">
        <v>281</v>
      </c>
      <c r="B7">
        <f>IF('Ins&amp;Outs'!B30 &gt; 60, 60, 'Ins&amp;Outs'!B30)</f>
        <v>60</v>
      </c>
    </row>
    <row r="8" spans="1:2" x14ac:dyDescent="0.3">
      <c r="A8" t="s">
        <v>282</v>
      </c>
      <c r="B8">
        <f>B5 * (B4 - 0.67)</f>
        <v>0</v>
      </c>
    </row>
    <row r="9" spans="1:2" x14ac:dyDescent="0.3">
      <c r="A9" t="s">
        <v>283</v>
      </c>
      <c r="B9">
        <f>1 + 'Projectile Data'!AK4 * B6 - 'Projectile Data'!AI4 * B4 * IFERROR(B6 ^ 'Projectile Data'!AJ4,0) - B8</f>
        <v>1</v>
      </c>
    </row>
    <row r="10" spans="1:2" x14ac:dyDescent="0.3">
      <c r="A10" t="s">
        <v>285</v>
      </c>
      <c r="B10">
        <f t="array" ref="B10">_xlfn.IFS(B9&gt;1,1,B9&lt;0.1,0.1,1=1,B9)</f>
        <v>1</v>
      </c>
    </row>
    <row r="11" spans="1:2" x14ac:dyDescent="0.3">
      <c r="A11" t="s">
        <v>284</v>
      </c>
      <c r="B11">
        <f>IF('Projectile Data'!AL4 &lt; 0, B10,
   1 + 'Projectile Data'!AN4 * B7 - 'Projectile Data'!AL4 * B4 * (B7 ^ 'Projectile Data'!AM4) - B8
)</f>
        <v>1</v>
      </c>
    </row>
    <row r="12" spans="1:2" x14ac:dyDescent="0.3">
      <c r="A12" t="s">
        <v>492</v>
      </c>
      <c r="B12">
        <f>IF(B11 &gt; 1, 1, IF(B11 &lt; 0.095, 0.095, B11))</f>
        <v>1</v>
      </c>
    </row>
  </sheetData>
  <sheetProtection algorithmName="SHA-512" hashValue="4KVBIgLOla/6YndXaiF/kGSbmlPSMmL2050lg1tduEW5UYVLo/58S2T5idbSAOg6W1AqR8is9wzXdu30o5WDbg==" saltValue="D8RTJPXHx9BdapdRzTRfA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3932-DCB5-42D3-AA4B-5E59BCDFD26A}">
  <sheetPr codeName="Sheet12"/>
  <dimension ref="A1:D13"/>
  <sheetViews>
    <sheetView workbookViewId="0">
      <selection activeCell="E43" sqref="E43"/>
    </sheetView>
  </sheetViews>
  <sheetFormatPr defaultRowHeight="14.4" x14ac:dyDescent="0.3"/>
  <cols>
    <col min="1" max="1" width="18.5546875" bestFit="1" customWidth="1"/>
  </cols>
  <sheetData>
    <row r="1" spans="1:4" x14ac:dyDescent="0.3">
      <c r="A1" t="s">
        <v>831</v>
      </c>
    </row>
    <row r="3" spans="1:4" x14ac:dyDescent="0.3">
      <c r="A3" t="s">
        <v>286</v>
      </c>
      <c r="B3" cm="1">
        <f t="array" ref="B3">_xlfn.IFS('main calculation sheet'!B57 = 1,1.5,'main calculation sheet'!B66 = 1,2,'main calculation sheet'!B66 = 2,1/COS(RADIANS('Ins&amp;Outs'!B30)),1=1,1)</f>
        <v>1</v>
      </c>
      <c r="D3" s="3"/>
    </row>
    <row r="4" spans="1:4" x14ac:dyDescent="0.3">
      <c r="A4" t="s">
        <v>287</v>
      </c>
      <c r="B4">
        <f>IF(B3&gt;2,2,B3)</f>
        <v>1</v>
      </c>
    </row>
    <row r="5" spans="1:4" x14ac:dyDescent="0.3">
      <c r="A5" t="s">
        <v>288</v>
      </c>
      <c r="B5">
        <f>0.011 * 'Ins&amp;Outs'!F6 * ('Ins&amp;Outs'!F6^2 + 4.5 * 'Ins&amp;Outs'!B6 * 'Ins&amp;Outs'!F6 + 20.25 * 'Ins&amp;Outs'!B6^2) * B4</f>
        <v>50.872249999999994</v>
      </c>
    </row>
    <row r="6" spans="1:4" x14ac:dyDescent="0.3">
      <c r="A6" t="s">
        <v>289</v>
      </c>
      <c r="B6">
        <f>IF('Ins&amp;Outs'!B30 &gt;= 45, B5 / COS(2 * (RADIANS('Ins&amp;Outs'!B30) - 0.7853981)), B5)</f>
        <v>117.73649930356655</v>
      </c>
    </row>
    <row r="7" spans="1:4" x14ac:dyDescent="0.3">
      <c r="A7" t="s">
        <v>290</v>
      </c>
      <c r="B7">
        <f>B5 * ((1 / COS(BLPLUSEX!B110)) - 1)</f>
        <v>6.8008646885504014</v>
      </c>
    </row>
    <row r="8" spans="1:4" x14ac:dyDescent="0.3">
      <c r="A8" t="s">
        <v>291</v>
      </c>
      <c r="B8">
        <f>IF(AND('Ins&amp;Outs'!B27&lt;BLPLUSEX!I94,AND('main calculation sheet'!B57=1,OR('Ins&amp;Outs'!B30&gt;=45,'main calculation sheet'!B57=0))),0,B7)</f>
        <v>6.8008646885504014</v>
      </c>
      <c r="D8" s="3"/>
    </row>
    <row r="9" spans="1:4" x14ac:dyDescent="0.3">
      <c r="A9" t="s">
        <v>292</v>
      </c>
      <c r="B9" cm="1">
        <f t="array" ref="B9">_xlfn.IFS(AND('main calculation sheet'!B32&lt;THINSELECT!B3,'main calculation sheet'!B32&gt;THINPRINT!B3,'Ins&amp;Outs'!B27&gt;=BLPLUSEX!K28,BLPLUSEX!K25&gt;BLPLUSEX!K28),(B6/COS(RADIANS('Ins&amp;Outs'!B30))+B6)/2,AND('main calculation sheet'!B32&lt;THINSELECT!B3,'Ins&amp;Outs'!B27&gt;=BLPLUSEX!K28,BLPLUSEX!K25&gt;BLPLUSEX!K28),B6/COS(RADIANS('Ins&amp;Outs'!B30)),1=1,0)</f>
        <v>531.42540151994763</v>
      </c>
      <c r="D9" s="3"/>
    </row>
    <row r="10" spans="1:4" x14ac:dyDescent="0.3">
      <c r="A10" t="s">
        <v>294</v>
      </c>
      <c r="B10" cm="1">
        <f t="array" ref="B10">_xlfn.IFS(AND(B6/COS(RADIANS('Ins&amp;Outs'!B30))&lt;(2*B6),'main calculation sheet'!B32&lt;THINSELECT!B3,'Ins&amp;Outs'!B27&gt;=BLPLUSEX!K28,BLPLUSEX!K25&gt;BLPLUSEX!K28),B6*2,AND('main calculation sheet'!B32&lt;THINSELECT!B3,'Ins&amp;Outs'!B27&gt;=BLPLUSEX!K28,BLPLUSEX!K25&gt;BLPLUSEX!K28),B9,1=1,B6)</f>
        <v>531.42540151994763</v>
      </c>
      <c r="D10" s="3"/>
    </row>
    <row r="13" spans="1:4" x14ac:dyDescent="0.3">
      <c r="A13" t="s">
        <v>293</v>
      </c>
      <c r="B13">
        <f>B8+B10</f>
        <v>538.22626620849803</v>
      </c>
    </row>
  </sheetData>
  <sheetProtection algorithmName="SHA-512" hashValue="qNnNBg/EtwO9T0hzVOE0dlClbh5cSEtmP81OalZ54AL7z07inNjV29Zh/HtPI6jCO9Ba4V1pjGiIeqChivj2RQ==" saltValue="T8mQOSQTDN8I/XgrKMD/h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D722C-A80A-4EA4-885C-AE7844CAEFA1}">
  <sheetPr codeName="Sheet13"/>
  <dimension ref="A1:D6"/>
  <sheetViews>
    <sheetView workbookViewId="0">
      <selection activeCell="E43" sqref="E43"/>
    </sheetView>
  </sheetViews>
  <sheetFormatPr defaultRowHeight="14.4" x14ac:dyDescent="0.3"/>
  <sheetData>
    <row r="1" spans="1:4" x14ac:dyDescent="0.3">
      <c r="A1" t="s">
        <v>831</v>
      </c>
    </row>
    <row r="3" spans="1:4" x14ac:dyDescent="0.3">
      <c r="A3" t="s">
        <v>295</v>
      </c>
      <c r="B3" cm="1">
        <f t="array" ref="B3">_xlfn.IFS(OR('Armor Data'!AO4&gt;0,AND('Projectile Data'!AP4&gt;0,'Projectile Data'!AS4=2,ABS('main calculation sheet'!B28)=1)),INITVALHDR!B6,OR('Ins&amp;Outs'!F30 = 'Armor Data'!V5,'Ins&amp;Outs'!F30 = 'Armor Data'!V6),INITVALHDR!B4,1=1,INITVALHDR!B5)</f>
        <v>0.12568389999999999</v>
      </c>
      <c r="D3" s="3"/>
    </row>
    <row r="4" spans="1:4" x14ac:dyDescent="0.3">
      <c r="A4" t="s">
        <v>296</v>
      </c>
      <c r="B4">
        <f>B3</f>
        <v>0.12568389999999999</v>
      </c>
    </row>
    <row r="5" spans="1:4" x14ac:dyDescent="0.3">
      <c r="A5" t="s">
        <v>298</v>
      </c>
      <c r="B5">
        <f t="array" ref="B5">IF(AND('Projectile Data'!AW4=1,'Projectile Data'!AX4=0),_xlfn.IFS('Ins&amp;Outs'!B30&lt;22.5,22.5,'Ins&amp;Outs'!B30&gt;45,45,1=1,'Ins&amp;Outs'!B30),0)</f>
        <v>0</v>
      </c>
    </row>
    <row r="6" spans="1:4" x14ac:dyDescent="0.3">
      <c r="A6" t="s">
        <v>297</v>
      </c>
      <c r="B6">
        <f>IF(AND('Projectile Data'!AW4=1,'Projectile Data'!AX4=0),(B4/(0.08+0.01))*(0.08*(1-SIN((90/57.29578)*(2*((B5-22.5)/22.5)+1)))/2+0.1),0)</f>
        <v>0</v>
      </c>
    </row>
  </sheetData>
  <sheetProtection algorithmName="SHA-512" hashValue="JUgHaMyiLV+KuSoKqErWjBNDpeZ8yUTVrZUBXvZ+xaFMGNZQ9VMHEHjmcjCa0L03QPQ58nmtS+EXy4JWQQXTPw==" saltValue="YJdMABCURp5QaqRBHaU9e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5542-31A4-4E3E-ADDF-870FC3404F60}">
  <sheetPr codeName="Sheet14"/>
  <dimension ref="A1:D3"/>
  <sheetViews>
    <sheetView workbookViewId="0">
      <selection activeCell="E43" sqref="E43"/>
    </sheetView>
  </sheetViews>
  <sheetFormatPr defaultRowHeight="14.4" x14ac:dyDescent="0.3"/>
  <sheetData>
    <row r="1" spans="1:4" x14ac:dyDescent="0.3">
      <c r="A1" t="s">
        <v>831</v>
      </c>
    </row>
    <row r="3" spans="1:4" x14ac:dyDescent="0.3">
      <c r="A3" t="s">
        <v>299</v>
      </c>
      <c r="B3">
        <f>IF(AND('Projectile Data'!AW4 = 1, 'main calculation sheet'!B57 = 0),IF('Ins&amp;Outs'!B30 &gt;= CALCBL!B27,IF('Projectile Data'!AX4 = 1,IF('Ins&amp;Outs'!B27 &gt;= CALCBL!B67, 0, 7),8),IF(OR(AND('Projectile Data'!AP4 = 0, BLPLUSEX!B104 &lt; 2), BLPLUSEX!B104 = 2),0,9)),DOCRTGOOD!B11)</f>
        <v>4</v>
      </c>
      <c r="D3" s="3"/>
    </row>
  </sheetData>
  <sheetProtection algorithmName="SHA-512" hashValue="IGOZ1qi3hfAsqBshYQkC9yg9EeHgH7Ragye6YzIQ0tTEQbkYAuV+IAaLyOm0WVm/6MVsOeEdJaWljxkwcC0A5A==" saltValue="SD9+I9d2rWRoWiqZf2hQk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52FA7-5CB1-4991-B562-3EDBA41DC575}">
  <sheetPr codeName="Sheet15"/>
  <dimension ref="A1:I52"/>
  <sheetViews>
    <sheetView workbookViewId="0">
      <selection activeCell="E43" sqref="E43"/>
    </sheetView>
  </sheetViews>
  <sheetFormatPr defaultRowHeight="14.4" x14ac:dyDescent="0.3"/>
  <cols>
    <col min="1" max="1" width="17.88671875" customWidth="1"/>
  </cols>
  <sheetData>
    <row r="1" spans="1:9" x14ac:dyDescent="0.3">
      <c r="A1" t="s">
        <v>831</v>
      </c>
    </row>
    <row r="2" spans="1:9" x14ac:dyDescent="0.3">
      <c r="A2" s="3" t="s">
        <v>656</v>
      </c>
    </row>
    <row r="3" spans="1:9" x14ac:dyDescent="0.3">
      <c r="A3" t="s">
        <v>300</v>
      </c>
      <c r="B3">
        <v>0</v>
      </c>
    </row>
    <row r="4" spans="1:9" x14ac:dyDescent="0.3">
      <c r="A4" t="s">
        <v>301</v>
      </c>
      <c r="B4">
        <f>IF(CALCBL!B24&lt;='Ins&amp;Outs'!B30,'Ins&amp;Outs'!B30-CALCBL!B24,0)</f>
        <v>62.2</v>
      </c>
      <c r="G4" s="3"/>
    </row>
    <row r="5" spans="1:9" x14ac:dyDescent="0.3">
      <c r="A5" t="s">
        <v>302</v>
      </c>
    </row>
    <row r="6" spans="1:9" x14ac:dyDescent="0.3">
      <c r="A6" t="s">
        <v>307</v>
      </c>
      <c r="B6" s="1" t="b">
        <f>CALCBL!B24&lt;='Ins&amp;Outs'!B30</f>
        <v>1</v>
      </c>
      <c r="G6" s="3"/>
      <c r="I6" s="1"/>
    </row>
    <row r="7" spans="1:9" x14ac:dyDescent="0.3">
      <c r="B7" t="s">
        <v>301</v>
      </c>
      <c r="C7">
        <f>'Ins&amp;Outs'!B30-CALCBL!B24</f>
        <v>62.2</v>
      </c>
      <c r="G7" s="3"/>
    </row>
    <row r="8" spans="1:9" x14ac:dyDescent="0.3">
      <c r="B8" t="str">
        <f>IF(OR('main calculation sheet'!B57 = 1,AND(C7 &gt; 15,'Ins&amp;Outs'!B30&gt;15)),"TRUE","FALSE")</f>
        <v>TRUE</v>
      </c>
      <c r="G8" s="3"/>
    </row>
    <row r="9" spans="1:9" x14ac:dyDescent="0.3">
      <c r="C9" t="s">
        <v>311</v>
      </c>
      <c r="D9" t="s">
        <v>308</v>
      </c>
      <c r="E9">
        <f>CALCBL!B24/57.29578</f>
        <v>0.26179938557429533</v>
      </c>
      <c r="G9" s="3"/>
      <c r="I9" s="1"/>
    </row>
    <row r="10" spans="1:9" x14ac:dyDescent="0.3">
      <c r="D10" t="s">
        <v>303</v>
      </c>
      <c r="E10">
        <f>E9/(1+BLPLUSEX!B114)</f>
        <v>0.18940470017432942</v>
      </c>
      <c r="G10" s="3"/>
    </row>
    <row r="11" spans="1:9" x14ac:dyDescent="0.3">
      <c r="D11" t="s">
        <v>304</v>
      </c>
      <c r="E11">
        <f>SIN(E10)*COS(E10)</f>
        <v>0.18490726949395708</v>
      </c>
    </row>
    <row r="12" spans="1:9" x14ac:dyDescent="0.3">
      <c r="D12" t="s">
        <v>305</v>
      </c>
      <c r="E12">
        <f>BLPLUSEX!B23/E11</f>
        <v>2.704058100951733</v>
      </c>
      <c r="G12" s="3"/>
    </row>
    <row r="13" spans="1:9" x14ac:dyDescent="0.3">
      <c r="D13" t="s">
        <v>306</v>
      </c>
      <c r="E13">
        <f>2*E12-1</f>
        <v>4.4081162019034661</v>
      </c>
    </row>
    <row r="14" spans="1:9" x14ac:dyDescent="0.3">
      <c r="D14" t="s">
        <v>309</v>
      </c>
      <c r="E14">
        <f>IF(E13&lt;0,0,E13)</f>
        <v>4.4081162019034661</v>
      </c>
    </row>
    <row r="15" spans="1:9" x14ac:dyDescent="0.3">
      <c r="D15" t="s">
        <v>300</v>
      </c>
      <c r="E15">
        <f>BLPLUSEX!I94 * E12 / SQRT(E14)</f>
        <v>8034.0563240689198</v>
      </c>
      <c r="G15" s="3"/>
    </row>
    <row r="16" spans="1:9" x14ac:dyDescent="0.3">
      <c r="D16" t="s">
        <v>310</v>
      </c>
      <c r="E16">
        <f>IF(E15&lt;BLPLUSEX!I94,BLPLUSEX!I94,E15)</f>
        <v>8034.0563240689198</v>
      </c>
      <c r="G16" s="3"/>
    </row>
    <row r="17" spans="1:7" x14ac:dyDescent="0.3">
      <c r="C17" t="s">
        <v>312</v>
      </c>
    </row>
    <row r="18" spans="1:7" x14ac:dyDescent="0.3">
      <c r="D18" t="s">
        <v>313</v>
      </c>
      <c r="E18">
        <f>IF('Ins&amp;Outs'!B30&lt;=15,CALCBL!B24,15-B4)</f>
        <v>-47.2</v>
      </c>
      <c r="G18" s="3"/>
    </row>
    <row r="19" spans="1:7" x14ac:dyDescent="0.3">
      <c r="D19" t="s">
        <v>300</v>
      </c>
      <c r="E19">
        <f>IFERROR(BLPLUSEX!I94 - (E18 / EFFVELINIT!B9) * (BLPLUSEX!I94 - BLPLUSEX!K94),0)</f>
        <v>25114.853333333336</v>
      </c>
      <c r="G19" s="3"/>
    </row>
    <row r="20" spans="1:7" x14ac:dyDescent="0.3">
      <c r="B20" t="s">
        <v>314</v>
      </c>
      <c r="C20">
        <f>ABS(E19 - BLPLUSEX!I94)</f>
        <v>18876.853333333336</v>
      </c>
      <c r="G20" s="3"/>
    </row>
    <row r="21" spans="1:7" x14ac:dyDescent="0.3">
      <c r="C21" t="s">
        <v>300</v>
      </c>
      <c r="D21">
        <f>IF(C20&lt;0.5,BLPLUSEX!I94,E19)</f>
        <v>25114.853333333336</v>
      </c>
      <c r="G21" s="3"/>
    </row>
    <row r="22" spans="1:7" x14ac:dyDescent="0.3">
      <c r="B22" t="s">
        <v>314</v>
      </c>
      <c r="C22">
        <f>ABS(D21-BLPLUSEX!K94)</f>
        <v>24875.853333333336</v>
      </c>
      <c r="G22" s="3"/>
    </row>
    <row r="23" spans="1:7" x14ac:dyDescent="0.3">
      <c r="C23" t="s">
        <v>300</v>
      </c>
      <c r="D23">
        <f>IF(C22&lt;0.5,BLPLUSEX!K94,D21)</f>
        <v>25114.853333333336</v>
      </c>
      <c r="G23" s="3"/>
    </row>
    <row r="25" spans="1:7" x14ac:dyDescent="0.3">
      <c r="B25" t="s">
        <v>646</v>
      </c>
      <c r="C25">
        <f>D23</f>
        <v>25114.853333333336</v>
      </c>
    </row>
    <row r="27" spans="1:7" x14ac:dyDescent="0.3">
      <c r="A27" s="3" t="s">
        <v>657</v>
      </c>
    </row>
    <row r="28" spans="1:7" x14ac:dyDescent="0.3">
      <c r="A28" t="s">
        <v>300</v>
      </c>
      <c r="B28">
        <v>0</v>
      </c>
    </row>
    <row r="29" spans="1:7" x14ac:dyDescent="0.3">
      <c r="A29" t="s">
        <v>301</v>
      </c>
      <c r="B29">
        <f>IF(NOSEDAM!B6&lt;='Ins&amp;Outs'!B30,'Ins&amp;Outs'!B30-NOSEDAM!B6,0)</f>
        <v>57.2</v>
      </c>
      <c r="G29" s="3"/>
    </row>
    <row r="30" spans="1:7" x14ac:dyDescent="0.3">
      <c r="A30" t="s">
        <v>302</v>
      </c>
    </row>
    <row r="31" spans="1:7" x14ac:dyDescent="0.3">
      <c r="A31" t="s">
        <v>307</v>
      </c>
      <c r="B31" s="1" t="b">
        <f>NOSEDAM!B6&lt;='Ins&amp;Outs'!B30</f>
        <v>1</v>
      </c>
      <c r="G31" s="3"/>
    </row>
    <row r="32" spans="1:7" x14ac:dyDescent="0.3">
      <c r="B32" t="s">
        <v>301</v>
      </c>
      <c r="C32">
        <f>'Ins&amp;Outs'!B30-NOSEDAM!B6</f>
        <v>57.2</v>
      </c>
      <c r="G32" s="3"/>
    </row>
    <row r="33" spans="2:7" x14ac:dyDescent="0.3">
      <c r="B33" t="str">
        <f>IF(OR('main calculation sheet'!B57 = 1,AND(C7 &gt; 15,'Ins&amp;Outs'!B30&gt;15)),"TRUE","FALSE")</f>
        <v>TRUE</v>
      </c>
      <c r="G33" s="3"/>
    </row>
    <row r="34" spans="2:7" x14ac:dyDescent="0.3">
      <c r="C34" t="s">
        <v>311</v>
      </c>
      <c r="D34" t="s">
        <v>308</v>
      </c>
      <c r="E34">
        <f>NOSEDAM!B6/57.29578</f>
        <v>0.34906584743239377</v>
      </c>
      <c r="G34" s="3"/>
    </row>
    <row r="35" spans="2:7" x14ac:dyDescent="0.3">
      <c r="D35" t="s">
        <v>303</v>
      </c>
      <c r="E35">
        <f>E9/(1+BLPLUSEX!B114)</f>
        <v>0.18940470017432942</v>
      </c>
      <c r="G35" s="3"/>
    </row>
    <row r="36" spans="2:7" x14ac:dyDescent="0.3">
      <c r="D36" t="s">
        <v>304</v>
      </c>
      <c r="E36">
        <f>SIN(E35)*COS(E35)</f>
        <v>0.18490726949395708</v>
      </c>
    </row>
    <row r="37" spans="2:7" x14ac:dyDescent="0.3">
      <c r="D37" t="s">
        <v>305</v>
      </c>
      <c r="E37">
        <f>BLPLUSEX!B23/E36</f>
        <v>2.704058100951733</v>
      </c>
      <c r="G37" s="3"/>
    </row>
    <row r="38" spans="2:7" x14ac:dyDescent="0.3">
      <c r="D38" t="s">
        <v>306</v>
      </c>
      <c r="E38">
        <f>2*E37-1</f>
        <v>4.4081162019034661</v>
      </c>
    </row>
    <row r="39" spans="2:7" x14ac:dyDescent="0.3">
      <c r="D39" t="s">
        <v>309</v>
      </c>
      <c r="E39">
        <f>IF(E38&lt;0,0,E38)</f>
        <v>4.4081162019034661</v>
      </c>
    </row>
    <row r="40" spans="2:7" x14ac:dyDescent="0.3">
      <c r="D40" t="s">
        <v>300</v>
      </c>
      <c r="E40">
        <f>BLPLUSEX!I94 * E37 / SQRT(E39)</f>
        <v>8034.0563240689198</v>
      </c>
      <c r="G40" s="3"/>
    </row>
    <row r="41" spans="2:7" x14ac:dyDescent="0.3">
      <c r="D41" t="s">
        <v>310</v>
      </c>
      <c r="E41">
        <f>IF(E40&lt;BLPLUSEX!I94,BLPLUSEX!I94,E40)</f>
        <v>8034.0563240689198</v>
      </c>
      <c r="G41" s="3"/>
    </row>
    <row r="42" spans="2:7" x14ac:dyDescent="0.3">
      <c r="C42" t="s">
        <v>312</v>
      </c>
    </row>
    <row r="43" spans="2:7" x14ac:dyDescent="0.3">
      <c r="D43" t="s">
        <v>313</v>
      </c>
      <c r="E43">
        <f>IF('Ins&amp;Outs'!B30&lt;=15,NOSEDAM!B6,15-B29)</f>
        <v>-42.2</v>
      </c>
      <c r="G43" s="3"/>
    </row>
    <row r="44" spans="2:7" x14ac:dyDescent="0.3">
      <c r="D44" t="s">
        <v>300</v>
      </c>
      <c r="E44">
        <f>IFERROR(BLPLUSEX!I94 - (E43 / EFFVELINIT!B9) * (BLPLUSEX!I94 - BLPLUSEX!K94),0)</f>
        <v>23115.186666666668</v>
      </c>
      <c r="G44" s="3"/>
    </row>
    <row r="45" spans="2:7" x14ac:dyDescent="0.3">
      <c r="B45" t="s">
        <v>314</v>
      </c>
      <c r="C45">
        <f>ABS(E44 - BLPLUSEX!I94)</f>
        <v>16877.186666666668</v>
      </c>
      <c r="G45" s="3"/>
    </row>
    <row r="46" spans="2:7" x14ac:dyDescent="0.3">
      <c r="C46" t="s">
        <v>300</v>
      </c>
      <c r="D46">
        <f>IF(C45&lt;0.5,BLPLUSEX!I94,E44)</f>
        <v>23115.186666666668</v>
      </c>
      <c r="G46" s="3"/>
    </row>
    <row r="47" spans="2:7" x14ac:dyDescent="0.3">
      <c r="B47" t="s">
        <v>314</v>
      </c>
      <c r="C47">
        <f>ABS(D46-BLPLUSEX!K94)</f>
        <v>22876.186666666668</v>
      </c>
      <c r="G47" s="3"/>
    </row>
    <row r="48" spans="2:7" x14ac:dyDescent="0.3">
      <c r="C48" t="s">
        <v>300</v>
      </c>
      <c r="D48">
        <f>IF(C47&lt;0.5,BLPLUSEX!K94,D46)</f>
        <v>23115.186666666668</v>
      </c>
      <c r="G48" s="3"/>
    </row>
    <row r="50" spans="2:3" x14ac:dyDescent="0.3">
      <c r="B50" t="s">
        <v>658</v>
      </c>
      <c r="C50">
        <f>D48</f>
        <v>23115.186666666668</v>
      </c>
    </row>
    <row r="51" spans="2:3" x14ac:dyDescent="0.3">
      <c r="B51" t="s">
        <v>654</v>
      </c>
      <c r="C51">
        <f>IF(BLPLUSEX!K94 &gt; C50,BLPLUSEX!K94,C50)</f>
        <v>23115.186666666668</v>
      </c>
    </row>
    <row r="52" spans="2:3" x14ac:dyDescent="0.3">
      <c r="B52" t="s">
        <v>659</v>
      </c>
      <c r="C52">
        <f>IF(BLPLUSEX!K94 &gt; C50,BLPLUSEX!K94,C50)</f>
        <v>23115.186666666668</v>
      </c>
    </row>
  </sheetData>
  <sheetProtection algorithmName="SHA-512" hashValue="+spXySrumHKrsJn0F3Bshjfd0H7FZsJIzXgEIUUL6hhKrU0MuZFME5DpvN01mf1T2iSaBrQeZUwdH3W0tYG9eg==" saltValue="vIYz+bsd2GKF2JXvvY9DY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B0D79-3E47-4188-9D51-BFA5B019D26D}">
  <sheetPr codeName="Sheet16"/>
  <dimension ref="A1:B7"/>
  <sheetViews>
    <sheetView workbookViewId="0">
      <selection activeCell="E43" sqref="E43"/>
    </sheetView>
  </sheetViews>
  <sheetFormatPr defaultRowHeight="14.4" x14ac:dyDescent="0.3"/>
  <cols>
    <col min="1" max="1" width="12.5546875" bestFit="1" customWidth="1"/>
  </cols>
  <sheetData>
    <row r="1" spans="1:2" x14ac:dyDescent="0.3">
      <c r="A1" t="s">
        <v>831</v>
      </c>
    </row>
    <row r="3" spans="1:2" x14ac:dyDescent="0.3">
      <c r="A3" t="s">
        <v>315</v>
      </c>
      <c r="B3">
        <f>1/1.21</f>
        <v>0.82644628099173556</v>
      </c>
    </row>
    <row r="4" spans="1:2" x14ac:dyDescent="0.3">
      <c r="A4" t="s">
        <v>316</v>
      </c>
      <c r="B4">
        <v>0.13</v>
      </c>
    </row>
    <row r="5" spans="1:2" x14ac:dyDescent="0.3">
      <c r="A5" t="s">
        <v>317</v>
      </c>
      <c r="B5">
        <v>0.12568389999999999</v>
      </c>
    </row>
    <row r="6" spans="1:2" x14ac:dyDescent="0.3">
      <c r="A6" t="s">
        <v>318</v>
      </c>
      <c r="B6">
        <v>0.09</v>
      </c>
    </row>
    <row r="7" spans="1:2" x14ac:dyDescent="0.3">
      <c r="A7" t="s">
        <v>319</v>
      </c>
      <c r="B7">
        <v>0.02</v>
      </c>
    </row>
  </sheetData>
  <sheetProtection algorithmName="SHA-512" hashValue="lo/eG1/xhB2oHav//ggG/UodQZtjsau/I6saEObkjlGwJvKcEHzWZoqNge/Ui94zMKe030uw8sHxe6deFjpp5A==" saltValue="D3x6MPdfZ4RkjqJT997u/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7A3E-CCD0-47A8-9E84-2EBC9AE08E82}">
  <sheetPr codeName="Sheet17"/>
  <dimension ref="A1:E21"/>
  <sheetViews>
    <sheetView workbookViewId="0">
      <selection activeCell="E43" sqref="E43"/>
    </sheetView>
  </sheetViews>
  <sheetFormatPr defaultRowHeight="14.4" x14ac:dyDescent="0.3"/>
  <cols>
    <col min="1" max="1" width="15.88671875" customWidth="1"/>
  </cols>
  <sheetData>
    <row r="1" spans="1:5" x14ac:dyDescent="0.3">
      <c r="A1" t="s">
        <v>831</v>
      </c>
    </row>
    <row r="3" spans="1:5" x14ac:dyDescent="0.3">
      <c r="A3" t="s">
        <v>320</v>
      </c>
      <c r="B3">
        <f>'Ins&amp;Outs'!B27 / BLPLUSEX!B105</f>
        <v>0.21304905418403333</v>
      </c>
      <c r="E3" s="3"/>
    </row>
    <row r="4" spans="1:5" x14ac:dyDescent="0.3">
      <c r="A4" t="s">
        <v>321</v>
      </c>
      <c r="B4">
        <f>B3^2 - 1</f>
        <v>-0.95461010051128881</v>
      </c>
      <c r="E4" s="3"/>
    </row>
    <row r="5" spans="1:5" x14ac:dyDescent="0.3">
      <c r="A5" t="s">
        <v>322</v>
      </c>
      <c r="B5">
        <f>B3^2 + B3 * SQRT(ABS(B4))</f>
        <v>0.25354766781148086</v>
      </c>
    </row>
    <row r="6" spans="1:5" x14ac:dyDescent="0.3">
      <c r="A6" t="s">
        <v>323</v>
      </c>
      <c r="B6">
        <f>BLPLUSEX!B23 / B5</f>
        <v>1.9720157724809466</v>
      </c>
      <c r="E6" s="3"/>
    </row>
    <row r="7" spans="1:5" x14ac:dyDescent="0.3">
      <c r="A7" t="s">
        <v>324</v>
      </c>
      <c r="B7">
        <f>ABS(1 - 4 * B6^2)</f>
        <v>14.555384827654498</v>
      </c>
    </row>
    <row r="8" spans="1:5" x14ac:dyDescent="0.3">
      <c r="A8" t="s">
        <v>325</v>
      </c>
      <c r="B8">
        <f>IF(AND('Ins&amp;Outs'!B30&lt;=15,'main calculation sheet'!B57 = 1,'main calculation sheet'!B28 = 2),0,ATAN((1-SQRT(B7))/(2*B6))*57.29578)</f>
        <v>-35.518305937889274</v>
      </c>
    </row>
    <row r="9" spans="1:5" x14ac:dyDescent="0.3">
      <c r="A9" t="s">
        <v>326</v>
      </c>
      <c r="B9">
        <f>IF(('Ins&amp;Outs'!B30-BLPLUSEX!B17)&gt;45,(('Ins&amp;Outs'!B30-BLPLUSEX!B17)-45)/45,0)</f>
        <v>0.3822222222222223</v>
      </c>
      <c r="E9" s="3"/>
    </row>
    <row r="10" spans="1:5" x14ac:dyDescent="0.3">
      <c r="A10" t="s">
        <v>327</v>
      </c>
      <c r="B10">
        <f>ABS(B8*(1+B9))</f>
        <v>49.094191763038062</v>
      </c>
      <c r="E10" s="3" t="s">
        <v>631</v>
      </c>
    </row>
    <row r="14" spans="1:5" x14ac:dyDescent="0.3">
      <c r="A14" t="s">
        <v>320</v>
      </c>
      <c r="B14">
        <f>CALCBL!B54 / BLPLUSEX!B105</f>
        <v>3.8313562039115102E-2</v>
      </c>
    </row>
    <row r="15" spans="1:5" x14ac:dyDescent="0.3">
      <c r="A15" t="s">
        <v>321</v>
      </c>
      <c r="B15">
        <f>B14^2 - 1</f>
        <v>-0.99853207096387486</v>
      </c>
    </row>
    <row r="16" spans="1:5" x14ac:dyDescent="0.3">
      <c r="A16" t="s">
        <v>322</v>
      </c>
      <c r="B16">
        <f>B14^2 + B14 * SQRT(ABS(B15))</f>
        <v>3.9753359952728669E-2</v>
      </c>
    </row>
    <row r="17" spans="1:5" x14ac:dyDescent="0.3">
      <c r="A17" t="s">
        <v>323</v>
      </c>
      <c r="B17">
        <f>BLPLUSEX!B23 / B16</f>
        <v>12.577553207944122</v>
      </c>
    </row>
    <row r="18" spans="1:5" x14ac:dyDescent="0.3">
      <c r="A18" t="s">
        <v>324</v>
      </c>
      <c r="B18">
        <f>ABS(1 - 4 * B17^2)</f>
        <v>631.77937879466197</v>
      </c>
    </row>
    <row r="19" spans="1:5" x14ac:dyDescent="0.3">
      <c r="A19" t="s">
        <v>325</v>
      </c>
      <c r="B19">
        <f>IF(AND('Ins&amp;Outs'!B30&lt;=15,'main calculation sheet'!B57 = 1,'main calculation sheet'!B28 = 2),0,ATAN((1-SQRT(B18))/(2*B17))*57.29578)</f>
        <v>-43.814641205133015</v>
      </c>
    </row>
    <row r="20" spans="1:5" x14ac:dyDescent="0.3">
      <c r="A20" t="s">
        <v>326</v>
      </c>
      <c r="B20">
        <f>IF(('Ins&amp;Outs'!B30-BLPLUSEX!B17)&gt;45,(('Ins&amp;Outs'!B30-BLPLUSEX!B17)-45)/45,0)</f>
        <v>0.3822222222222223</v>
      </c>
    </row>
    <row r="21" spans="1:5" x14ac:dyDescent="0.3">
      <c r="A21" t="s">
        <v>327</v>
      </c>
      <c r="B21">
        <f>ABS(B19*(1+B20))</f>
        <v>60.561570732428301</v>
      </c>
      <c r="E21" s="3" t="s">
        <v>744</v>
      </c>
    </row>
  </sheetData>
  <sheetProtection algorithmName="SHA-512" hashValue="xES+2SfS5dmBMSP9lLTiqOGI9TTxcwa9pO54UfnaABV4AGZ2FjgvwS2raHZKHnKoUmfthJPNlQoYswLDuU2lVw==" saltValue="1d5vhpzSHvd8qrtYZhW0d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2BE3-A53B-46D1-A3DA-8C319098C733}">
  <sheetPr codeName="Sheet18"/>
  <dimension ref="A1:E5"/>
  <sheetViews>
    <sheetView workbookViewId="0">
      <selection activeCell="E43" sqref="E43"/>
    </sheetView>
  </sheetViews>
  <sheetFormatPr defaultRowHeight="14.4" x14ac:dyDescent="0.3"/>
  <sheetData>
    <row r="1" spans="1:5" x14ac:dyDescent="0.3">
      <c r="A1" t="s">
        <v>831</v>
      </c>
    </row>
    <row r="3" spans="1:5" x14ac:dyDescent="0.3">
      <c r="A3" t="s">
        <v>328</v>
      </c>
      <c r="B3" cm="1">
        <f t="array" ref="B3">_xlfn.IFS(OR(AND(DAMAGECALC!B5 = 1,'Projectile Data'!AP4 = 0),AND(BLPLUSEX!B104 = 2,'main calculation sheet'!B63 &gt; 0,'main calculation sheet'!B63 &lt;&gt; 2),'main calculation sheet'!B63 = 2),2,AND(BLPLUSEX!B104 &lt; 2, 'main calculation sheet'!B63 &gt; 0),2,1=1,2)</f>
        <v>2</v>
      </c>
      <c r="E3" s="3"/>
    </row>
    <row r="4" spans="1:5" x14ac:dyDescent="0.3">
      <c r="A4" t="s">
        <v>299</v>
      </c>
      <c r="B4" cm="1">
        <f t="array" ref="B4">_xlfn.IFS(OR(AND(DAMAGECALC!B5 = 1,'Projectile Data'!AP4 = 0),AND(BLPLUSEX!B104 = 2,'main calculation sheet'!B63 &gt; 0,'main calculation sheet'!B63 &lt;&gt; 2),'main calculation sheet'!B63 = 2),0,AND(BLPLUSEX!B104 &lt; 2, 'main calculation sheet'!B63 &gt; 0),2,1=1,1)</f>
        <v>1</v>
      </c>
      <c r="E4" s="3"/>
    </row>
    <row r="5" spans="1:5" x14ac:dyDescent="0.3">
      <c r="A5" t="s">
        <v>329</v>
      </c>
      <c r="B5" cm="1">
        <f t="array" ref="B5">_xlfn.IFS(OR(AND(DAMAGECALC!B5 = 1,'Projectile Data'!AP4 = 0),AND(BLPLUSEX!B104 = 2,'main calculation sheet'!B63 &gt; 0,'main calculation sheet'!B63 &lt;&gt; 2),'main calculation sheet'!B63 = 2),0,AND(BLPLUSEX!B104 &lt; 2, 'main calculation sheet'!B63 &gt; 0),2,1=1,2)</f>
        <v>2</v>
      </c>
      <c r="E5" s="3"/>
    </row>
  </sheetData>
  <sheetProtection algorithmName="SHA-512" hashValue="Siq3cBVNAiMKTlByQl7E6S9w+IYoSwTKaaFmgsSODssEzBOtzuYhKXIVBgAeVKmnHddzCBNTxI+cwjQJg+2caQ==" saltValue="3ZKZgM32dpUUMBFWi/vrYA=="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6AE24-5E3A-4B61-8F26-24F364266C5C}">
  <sheetPr codeName="Sheet19"/>
  <dimension ref="A1:F9"/>
  <sheetViews>
    <sheetView workbookViewId="0">
      <selection activeCell="E43" sqref="E43"/>
    </sheetView>
  </sheetViews>
  <sheetFormatPr defaultRowHeight="14.4" x14ac:dyDescent="0.3"/>
  <cols>
    <col min="1" max="1" width="12.109375" customWidth="1"/>
  </cols>
  <sheetData>
    <row r="1" spans="1:6" x14ac:dyDescent="0.3">
      <c r="A1" t="s">
        <v>831</v>
      </c>
    </row>
    <row r="3" spans="1:6" x14ac:dyDescent="0.3">
      <c r="A3" s="1" t="s">
        <v>330</v>
      </c>
    </row>
    <row r="5" spans="1:6" x14ac:dyDescent="0.3">
      <c r="A5" t="s">
        <v>629</v>
      </c>
      <c r="B5" s="1">
        <f>IF(AND(OR('Ins&amp;Outs'!F30="HARVEY MILD STEEL (1-1.5-INCH HIGH-CARBON 600-700 BRINELL 'CEMENTED' FACE -- USING 1.25-INCH FACE HERE -- REST OF PLATE SOFT)",'Ins&amp;Outs'!F30="HARVEY NI-STEEL (STRONGER STEEL; SAME FACE)"),'Projectile Data'!AW4),8,1)</f>
        <v>1</v>
      </c>
    </row>
    <row r="6" spans="1:6" x14ac:dyDescent="0.3">
      <c r="A6" t="s">
        <v>332</v>
      </c>
      <c r="B6" cm="1">
        <f t="array" ref="B6">_xlfn.IFS(AND('main calculation sheet'!B28 = -1,'Projectile Data'!AQ4 = 1,'Armor Data'!AM4 = 0,'Ins&amp;Outs'!F30 &lt;&gt; 'Armor Data'!V5,'Ins&amp;Outs'!F30 &lt;&gt; 'Armor Data'!V6),4,AND(ABS('main calculation sheet'!B28) = 1,'Armor Data'!AN4 = 1),5,AND(ABS('main calculation sheet'!B28) = 1,'Armor Data'!AN4 = 2,'Projectile Data'!AX4 &lt; 2),5,AND(BLPLUSEX!B104 = 0,'Ins&amp;Outs'!B30 &gt;= NOSEDAM!B6),3,AND(BLPLUSEX!B104 = 1,('Ins&amp;Outs'!B30-BLPLUSEX!B108) &gt; NOSEDAM!B6),3,AND('main calculation sheet'!B28 &gt; 1,BLPLUSEX!B104 = 0,BLPLUSEX!I94 &gt; CALCBL!B43,'Projectile Data'!AX4 = 0),6,'Ins&amp;Outs'!B30 &gt; 45,7,1=1,0)</f>
        <v>3</v>
      </c>
      <c r="D6" s="3"/>
    </row>
    <row r="8" spans="1:6" x14ac:dyDescent="0.3">
      <c r="A8" t="s">
        <v>528</v>
      </c>
      <c r="B8">
        <f>IF('Projectile Data'!AP4 &gt; 0,B5,0)</f>
        <v>0</v>
      </c>
      <c r="D8" s="3"/>
      <c r="F8" s="2"/>
    </row>
    <row r="9" spans="1:6" x14ac:dyDescent="0.3">
      <c r="A9" t="s">
        <v>333</v>
      </c>
      <c r="B9">
        <f>IF(B8 &lt;&gt; 1,B6,B8)</f>
        <v>3</v>
      </c>
    </row>
  </sheetData>
  <sheetProtection algorithmName="SHA-512" hashValue="i/1TLbNXl5lCJaChHLR+45D6bkVdhSZQ/fyNDKJ0rabwFv4yJEjgIkP4VIgrtURbL8h2UJhR99evVDb0ePzb9g==" saltValue="YvrRo5pRtYAvHzjTFVkcRQ=="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78749-B27A-4650-AE88-BA96F1621868}">
  <sheetPr codeName="Sheet20"/>
  <dimension ref="A1:J58"/>
  <sheetViews>
    <sheetView workbookViewId="0">
      <selection activeCell="E43" sqref="E43"/>
    </sheetView>
  </sheetViews>
  <sheetFormatPr defaultRowHeight="14.4" x14ac:dyDescent="0.3"/>
  <sheetData>
    <row r="1" spans="1:10" x14ac:dyDescent="0.3">
      <c r="A1" t="s">
        <v>831</v>
      </c>
    </row>
    <row r="3" spans="1:10" x14ac:dyDescent="0.3">
      <c r="A3" t="s">
        <v>334</v>
      </c>
      <c r="J3" t="s">
        <v>349</v>
      </c>
    </row>
    <row r="4" spans="1:10" x14ac:dyDescent="0.3">
      <c r="A4" t="s">
        <v>336</v>
      </c>
    </row>
    <row r="5" spans="1:10" x14ac:dyDescent="0.3">
      <c r="B5" t="s">
        <v>337</v>
      </c>
    </row>
    <row r="6" spans="1:10" x14ac:dyDescent="0.3">
      <c r="C6" t="s">
        <v>338</v>
      </c>
    </row>
    <row r="7" spans="1:10" x14ac:dyDescent="0.3">
      <c r="D7" t="s">
        <v>339</v>
      </c>
      <c r="J7">
        <v>1</v>
      </c>
    </row>
    <row r="8" spans="1:10" x14ac:dyDescent="0.3">
      <c r="D8" t="s">
        <v>340</v>
      </c>
      <c r="J8">
        <v>2</v>
      </c>
    </row>
    <row r="9" spans="1:10" x14ac:dyDescent="0.3">
      <c r="C9" t="s">
        <v>341</v>
      </c>
    </row>
    <row r="10" spans="1:10" x14ac:dyDescent="0.3">
      <c r="D10" t="s">
        <v>342</v>
      </c>
      <c r="J10">
        <v>3</v>
      </c>
    </row>
    <row r="11" spans="1:10" x14ac:dyDescent="0.3">
      <c r="D11" t="s">
        <v>340</v>
      </c>
      <c r="J11">
        <v>4</v>
      </c>
    </row>
    <row r="12" spans="1:10" x14ac:dyDescent="0.3">
      <c r="B12" t="s">
        <v>343</v>
      </c>
    </row>
    <row r="13" spans="1:10" x14ac:dyDescent="0.3">
      <c r="C13" t="s">
        <v>340</v>
      </c>
      <c r="J13">
        <v>5</v>
      </c>
    </row>
    <row r="14" spans="1:10" x14ac:dyDescent="0.3">
      <c r="C14" t="s">
        <v>344</v>
      </c>
      <c r="J14">
        <v>6</v>
      </c>
    </row>
    <row r="15" spans="1:10" x14ac:dyDescent="0.3">
      <c r="A15" t="s">
        <v>345</v>
      </c>
    </row>
    <row r="16" spans="1:10" x14ac:dyDescent="0.3">
      <c r="B16" t="s">
        <v>341</v>
      </c>
      <c r="J16">
        <v>7</v>
      </c>
    </row>
    <row r="17" spans="1:10" x14ac:dyDescent="0.3">
      <c r="B17" t="s">
        <v>346</v>
      </c>
    </row>
    <row r="18" spans="1:10" x14ac:dyDescent="0.3">
      <c r="C18" t="s">
        <v>348</v>
      </c>
      <c r="J18">
        <v>8</v>
      </c>
    </row>
    <row r="19" spans="1:10" x14ac:dyDescent="0.3">
      <c r="C19" t="s">
        <v>347</v>
      </c>
      <c r="J19">
        <v>9</v>
      </c>
    </row>
    <row r="23" spans="1:10" x14ac:dyDescent="0.3">
      <c r="A23" t="s">
        <v>334</v>
      </c>
      <c r="E23" t="s">
        <v>349</v>
      </c>
    </row>
    <row r="24" spans="1:10" x14ac:dyDescent="0.3">
      <c r="A24" t="b">
        <f>IF(OR(FINALRESULTS!B13 = 1,'Ins&amp;Outs'!B27 &lt; BLPLUSEX!I94),TRUE,FALSE)</f>
        <v>1</v>
      </c>
      <c r="G24" s="1"/>
      <c r="I24" s="3"/>
    </row>
    <row r="25" spans="1:10" x14ac:dyDescent="0.3">
      <c r="B25" t="b">
        <f>IF('Ins&amp;Outs'!B30 &lt; 45,TRUE,FALSE)</f>
        <v>0</v>
      </c>
    </row>
    <row r="26" spans="1:10" x14ac:dyDescent="0.3">
      <c r="C26" t="b">
        <f>IF(OR('main calculation sheet'!B57 = 0,AND('main calculation sheet'!B57 = 1,'main calculation sheet'!B28 = 2,'Ins&amp;Outs'!B27 &lt; MODIFYVDF!B24,BLPLUSEX!K94 &lt; MODIFYVDF!B24)),TRUE,FALSE)</f>
        <v>1</v>
      </c>
      <c r="G26" s="1"/>
      <c r="I26" s="3"/>
    </row>
    <row r="27" spans="1:10" x14ac:dyDescent="0.3">
      <c r="D27" t="b">
        <f>IF(DAMAGECALC!B14 = 0,TRUE,FALSE)</f>
        <v>0</v>
      </c>
      <c r="E27">
        <v>1</v>
      </c>
      <c r="G27" s="1"/>
      <c r="I27" s="3"/>
    </row>
    <row r="28" spans="1:10" x14ac:dyDescent="0.3">
      <c r="D28" t="b">
        <f>IF(DAMAGECALC!B14 &lt;&gt; 0,TRUE,FALSE)</f>
        <v>1</v>
      </c>
      <c r="E28">
        <v>2</v>
      </c>
      <c r="I28" s="3"/>
    </row>
    <row r="29" spans="1:10" x14ac:dyDescent="0.3">
      <c r="C29" t="b">
        <f>IF(OR('main calculation sheet'!B57 = 0,AND('main calculation sheet'!B57 = 1,'main calculation sheet'!B28 = 2,'Ins&amp;Outs'!B27 &lt; MODIFYVDF!B24,BLPLUSEX!K94 &lt; MODIFYVDF!B24)),FALSE,TRUE)</f>
        <v>0</v>
      </c>
      <c r="H29" s="3"/>
      <c r="I29" s="3"/>
    </row>
    <row r="30" spans="1:10" x14ac:dyDescent="0.3">
      <c r="D30" t="b">
        <f>IF(DAMAGECALC!B14 = 0,TRUE,FALSE)</f>
        <v>0</v>
      </c>
      <c r="E30">
        <v>3</v>
      </c>
      <c r="H30" s="3"/>
      <c r="I30" s="3"/>
    </row>
    <row r="31" spans="1:10" x14ac:dyDescent="0.3">
      <c r="D31" t="b">
        <f>IF(DAMAGECALC!B14 &lt;&gt; 0,TRUE,FALSE)</f>
        <v>1</v>
      </c>
      <c r="E31">
        <v>4</v>
      </c>
      <c r="H31" s="3"/>
      <c r="I31" s="3"/>
    </row>
    <row r="32" spans="1:10" x14ac:dyDescent="0.3">
      <c r="B32" t="b">
        <f>IF('Ins&amp;Outs'!B30 &lt; 45,FALSE,TRUE)</f>
        <v>1</v>
      </c>
      <c r="H32" s="3"/>
    </row>
    <row r="33" spans="1:9" x14ac:dyDescent="0.3">
      <c r="C33" t="b">
        <f>IF(DAMAGECALC!B14 &gt; 0,TRUE,FALSE)</f>
        <v>1</v>
      </c>
      <c r="E33">
        <v>5</v>
      </c>
      <c r="H33" s="3"/>
      <c r="I33" s="3"/>
    </row>
    <row r="34" spans="1:9" x14ac:dyDescent="0.3">
      <c r="C34" t="b">
        <f>IF(DAMAGECALC!B14 &gt; 0,FALSE,TRUE)</f>
        <v>0</v>
      </c>
      <c r="E34">
        <v>6</v>
      </c>
      <c r="H34" s="3"/>
      <c r="I34" s="3"/>
    </row>
    <row r="35" spans="1:9" x14ac:dyDescent="0.3">
      <c r="A35" t="b">
        <f>IF(OR(FINALRESULTS!B13 = 1,'Ins&amp;Outs'!B27 &lt; BLPLUSEX!I94),FALSE,TRUE)</f>
        <v>0</v>
      </c>
      <c r="H35" s="3"/>
      <c r="I35" s="3"/>
    </row>
    <row r="36" spans="1:9" x14ac:dyDescent="0.3">
      <c r="B36" t="b">
        <f>IF('main calculation sheet'!B57 = 1,TRUE,FALSE)</f>
        <v>0</v>
      </c>
      <c r="E36">
        <v>7</v>
      </c>
      <c r="H36" s="3"/>
      <c r="I36" s="3"/>
    </row>
    <row r="37" spans="1:9" x14ac:dyDescent="0.3">
      <c r="B37" t="b">
        <f>IF('main calculation sheet'!B57 = 1,FALSE,TRUE)</f>
        <v>1</v>
      </c>
      <c r="H37" s="3"/>
      <c r="I37" s="3"/>
    </row>
    <row r="38" spans="1:9" x14ac:dyDescent="0.3">
      <c r="C38" t="b">
        <f>IF(OR('Ins&amp;Outs'!B30 &lt; 45,AND('Ins&amp;Outs'!B30 &gt;= 45,DAMAGECALC!B23 = 0)),TRUE,FALSE)</f>
        <v>0</v>
      </c>
      <c r="E38">
        <v>8</v>
      </c>
      <c r="H38" s="3"/>
      <c r="I38" s="3"/>
    </row>
    <row r="39" spans="1:9" x14ac:dyDescent="0.3">
      <c r="C39" t="b">
        <f>IF(OR('Ins&amp;Outs'!B30 &lt; 45,AND('Ins&amp;Outs'!B30 &gt;= 45,DAMAGECALC!B23 = 0)),FALSE,TRUE)</f>
        <v>1</v>
      </c>
      <c r="E39">
        <v>9</v>
      </c>
      <c r="H39" s="3"/>
      <c r="I39" s="3"/>
    </row>
    <row r="42" spans="1:9" x14ac:dyDescent="0.3">
      <c r="A42" t="s">
        <v>351</v>
      </c>
      <c r="B42" t="s">
        <v>335</v>
      </c>
      <c r="C42" t="s">
        <v>352</v>
      </c>
      <c r="D42" t="s">
        <v>353</v>
      </c>
      <c r="E42" t="s">
        <v>354</v>
      </c>
      <c r="F42" t="s">
        <v>293</v>
      </c>
      <c r="G42" t="s">
        <v>290</v>
      </c>
    </row>
    <row r="43" spans="1:9" x14ac:dyDescent="0.3">
      <c r="A43">
        <v>1</v>
      </c>
      <c r="B43">
        <f>IF(DAMAGECALC!B30&gt;0,3,2)</f>
        <v>3</v>
      </c>
      <c r="C43">
        <v>-1</v>
      </c>
      <c r="D43">
        <f>INT(IF(DAMAGECALC!B30&gt;0,IF('Ins&amp;Outs'!B30&gt;=45,-1,0),-1))</f>
        <v>-1</v>
      </c>
      <c r="F43">
        <f>PLUGCALC!B10</f>
        <v>531.42540151994763</v>
      </c>
      <c r="G43">
        <v>0</v>
      </c>
    </row>
    <row r="44" spans="1:9" x14ac:dyDescent="0.3">
      <c r="A44">
        <v>2</v>
      </c>
      <c r="B44">
        <v>5</v>
      </c>
      <c r="C44">
        <v>-1</v>
      </c>
      <c r="D44">
        <f>INT(FINALRESULTS!B28)</f>
        <v>593</v>
      </c>
    </row>
    <row r="45" spans="1:9" x14ac:dyDescent="0.3">
      <c r="A45">
        <v>3</v>
      </c>
      <c r="B45">
        <f>IF(DAMAGECALC!B30&gt;0,3,2)</f>
        <v>3</v>
      </c>
      <c r="C45">
        <v>-1</v>
      </c>
      <c r="D45">
        <f>INT(IF(DAMAGECALC!B30&gt;0,IF('Ins&amp;Outs'!B30&gt;=45,-1,0),-1))</f>
        <v>-1</v>
      </c>
      <c r="F45">
        <f>PLUGCALC!B10</f>
        <v>531.42540151994763</v>
      </c>
      <c r="G45">
        <v>0</v>
      </c>
    </row>
    <row r="46" spans="1:9" x14ac:dyDescent="0.3">
      <c r="A46">
        <v>4</v>
      </c>
      <c r="B46">
        <v>5</v>
      </c>
      <c r="C46">
        <v>-1</v>
      </c>
      <c r="D46">
        <f>INT(FINALRESULTS!B28)</f>
        <v>593</v>
      </c>
    </row>
    <row r="47" spans="1:9" x14ac:dyDescent="0.3">
      <c r="A47">
        <v>5</v>
      </c>
      <c r="B47">
        <v>4</v>
      </c>
      <c r="C47">
        <v>-1</v>
      </c>
      <c r="D47">
        <f>INT(FINALRESULTS!B28)</f>
        <v>593</v>
      </c>
      <c r="F47">
        <f>PLUGCALC!B10</f>
        <v>531.42540151994763</v>
      </c>
      <c r="G47">
        <v>0</v>
      </c>
    </row>
    <row r="48" spans="1:9" x14ac:dyDescent="0.3">
      <c r="A48">
        <v>6</v>
      </c>
      <c r="B48">
        <f>IF(DAMAGECALC!B30&gt;0,3,2)</f>
        <v>3</v>
      </c>
      <c r="C48">
        <v>-1</v>
      </c>
      <c r="D48">
        <f>INT(IF(DAMAGECALC!B30&gt;0,IF('Ins&amp;Outs'!B30&gt;=45,-1,0),-1))</f>
        <v>-1</v>
      </c>
      <c r="F48">
        <f>PLUGCALC!B10</f>
        <v>531.42540151994763</v>
      </c>
      <c r="G48">
        <v>0</v>
      </c>
    </row>
    <row r="49" spans="1:7" x14ac:dyDescent="0.3">
      <c r="A49">
        <v>7</v>
      </c>
      <c r="B49">
        <v>6</v>
      </c>
      <c r="C49">
        <f>INT(FINALRESULTS!B42)</f>
        <v>-1</v>
      </c>
      <c r="D49">
        <f>INT(IF(FINALRESULTS!B28 &lt; C49,C49,FINALRESULTS!B28))</f>
        <v>593</v>
      </c>
    </row>
    <row r="50" spans="1:7" x14ac:dyDescent="0.3">
      <c r="A50">
        <v>8</v>
      </c>
      <c r="B50">
        <v>6</v>
      </c>
      <c r="C50">
        <f>INT(FINALRESULTS!B42)</f>
        <v>-1</v>
      </c>
      <c r="D50">
        <f>C50</f>
        <v>-1</v>
      </c>
    </row>
    <row r="51" spans="1:7" x14ac:dyDescent="0.3">
      <c r="A51">
        <v>9</v>
      </c>
      <c r="B51">
        <v>6</v>
      </c>
      <c r="C51">
        <f>INT(FINALRESULTS!B42)</f>
        <v>-1</v>
      </c>
      <c r="D51">
        <f>INT(IF(FINALRESULTS!B28 &lt; C51,C51,FINALRESULTS!B28))</f>
        <v>593</v>
      </c>
    </row>
    <row r="55" spans="1:7" x14ac:dyDescent="0.3">
      <c r="A55" t="s">
        <v>350</v>
      </c>
      <c r="B55" cm="1">
        <f t="array" ref="B55">_xlfn.IFS(AND(A24=TRUE,B25=TRUE,C26=TRUE,D27=TRUE),1,AND(A24=TRUE,B25=TRUE,C26=TRUE,D28=TRUE),2,AND(A24=TRUE,B25=TRUE,C29=TRUE,D30=TRUE),3,AND(A24=TRUE,B25=TRUE,C29=TRUE,D31=TRUE),4,AND(A24=TRUE,B32=TRUE,C33=TRUE),5,AND(A24=TRUE,B32=TRUE,C34=TRUE),6,AND(A35=TRUE,B36=TRUE),7,AND(A35=TRUE,B37=TRUE,C38=TRUE),8,AND(A35=TRUE,B37=TRUE,C39=TRUE),9)</f>
        <v>5</v>
      </c>
    </row>
    <row r="57" spans="1:7" x14ac:dyDescent="0.3">
      <c r="B57" t="s">
        <v>335</v>
      </c>
      <c r="C57" t="s">
        <v>352</v>
      </c>
      <c r="D57" t="s">
        <v>353</v>
      </c>
      <c r="E57" t="s">
        <v>354</v>
      </c>
      <c r="F57" t="s">
        <v>293</v>
      </c>
      <c r="G57" t="s">
        <v>290</v>
      </c>
    </row>
    <row r="58" spans="1:7" x14ac:dyDescent="0.3">
      <c r="B58">
        <f>VLOOKUP($B55,$A43:$G51,2,FALSE)</f>
        <v>4</v>
      </c>
      <c r="C58">
        <f>VLOOKUP($B55,$A43:$G51,3,FALSE)</f>
        <v>-1</v>
      </c>
      <c r="D58">
        <f>VLOOKUP($B55,$A43:$G51,4,FALSE)</f>
        <v>593</v>
      </c>
      <c r="E58">
        <f>VLOOKUP($B55,$A43:$G51,5,FALSE)</f>
        <v>0</v>
      </c>
      <c r="F58">
        <f>VLOOKUP($B55,$A43:$G51,6,FALSE)</f>
        <v>531.42540151994763</v>
      </c>
      <c r="G58">
        <f>VLOOKUP($B55,$A43:$G51,7,FALSE)</f>
        <v>0</v>
      </c>
    </row>
  </sheetData>
  <sheetProtection algorithmName="SHA-512" hashValue="vhaKu7v4OCFDEkekI3gBYV4Xt0Y+6Rqrn98gBM8XwB9slwZatIUAhfh/bkRcH2SS+de84Pg0CPAdFxckpjD87Q==" saltValue="eKbsinNncbSCEc+CZ/4IR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C4664-A8EA-40E1-A680-BB8442FCE4BA}">
  <sheetPr codeName="Sheet3"/>
  <dimension ref="A1:C25"/>
  <sheetViews>
    <sheetView workbookViewId="0">
      <selection activeCell="E43" sqref="E43"/>
    </sheetView>
  </sheetViews>
  <sheetFormatPr defaultRowHeight="14.4" x14ac:dyDescent="0.3"/>
  <sheetData>
    <row r="1" spans="1:2" x14ac:dyDescent="0.3">
      <c r="A1" t="s">
        <v>831</v>
      </c>
    </row>
    <row r="2" spans="1:2" x14ac:dyDescent="0.3">
      <c r="B2" t="s">
        <v>249</v>
      </c>
    </row>
    <row r="3" spans="1:2" x14ac:dyDescent="0.3">
      <c r="B3" t="s">
        <v>250</v>
      </c>
    </row>
    <row r="5" spans="1:2" x14ac:dyDescent="0.3">
      <c r="B5" t="s">
        <v>251</v>
      </c>
    </row>
    <row r="6" spans="1:2" x14ac:dyDescent="0.3">
      <c r="B6" t="s">
        <v>252</v>
      </c>
    </row>
    <row r="7" spans="1:2" x14ac:dyDescent="0.3">
      <c r="B7" t="s">
        <v>253</v>
      </c>
    </row>
    <row r="8" spans="1:2" x14ac:dyDescent="0.3">
      <c r="B8" t="s">
        <v>254</v>
      </c>
    </row>
    <row r="10" spans="1:2" x14ac:dyDescent="0.3">
      <c r="B10" t="s">
        <v>257</v>
      </c>
    </row>
    <row r="11" spans="1:2" x14ac:dyDescent="0.3">
      <c r="B11" t="s">
        <v>255</v>
      </c>
    </row>
    <row r="12" spans="1:2" x14ac:dyDescent="0.3">
      <c r="B12" t="s">
        <v>256</v>
      </c>
    </row>
    <row r="15" spans="1:2" x14ac:dyDescent="0.3">
      <c r="B15">
        <v>1</v>
      </c>
    </row>
    <row r="16" spans="1:2" x14ac:dyDescent="0.3">
      <c r="B16">
        <v>2</v>
      </c>
    </row>
    <row r="17" spans="2:3" x14ac:dyDescent="0.3">
      <c r="B17">
        <v>3</v>
      </c>
    </row>
    <row r="18" spans="2:3" x14ac:dyDescent="0.3">
      <c r="B18">
        <v>4</v>
      </c>
    </row>
    <row r="19" spans="2:3" x14ac:dyDescent="0.3">
      <c r="B19">
        <v>5</v>
      </c>
    </row>
    <row r="21" spans="2:3" x14ac:dyDescent="0.3">
      <c r="B21" t="s">
        <v>421</v>
      </c>
      <c r="C21">
        <v>0.6</v>
      </c>
    </row>
    <row r="22" spans="2:3" x14ac:dyDescent="0.3">
      <c r="B22" t="s">
        <v>422</v>
      </c>
      <c r="C22">
        <v>0.7</v>
      </c>
    </row>
    <row r="23" spans="2:3" x14ac:dyDescent="0.3">
      <c r="B23" t="s">
        <v>423</v>
      </c>
      <c r="C23">
        <v>0.8</v>
      </c>
    </row>
    <row r="24" spans="2:3" x14ac:dyDescent="0.3">
      <c r="B24" t="s">
        <v>424</v>
      </c>
      <c r="C24">
        <v>0.9</v>
      </c>
    </row>
    <row r="25" spans="2:3" x14ac:dyDescent="0.3">
      <c r="B25" t="s">
        <v>814</v>
      </c>
      <c r="C25">
        <v>1</v>
      </c>
    </row>
  </sheetData>
  <sheetProtection algorithmName="SHA-512" hashValue="cMG33O0bRdUzZc5sG6qnmIhl8vw+z5rCO/qfHb/RjAOXr6j8+cx3DPOqRREPkOS2bX867fIUljnBb5/7e9vpHw==" saltValue="wL1bJRDkQbxel/KborbRpg=="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4FD0-40C6-4626-853E-83E75DFAB1F0}">
  <sheetPr codeName="Sheet21"/>
  <dimension ref="A1:E7"/>
  <sheetViews>
    <sheetView workbookViewId="0">
      <selection activeCell="E43" sqref="E43"/>
    </sheetView>
  </sheetViews>
  <sheetFormatPr defaultRowHeight="14.4" x14ac:dyDescent="0.3"/>
  <sheetData>
    <row r="1" spans="1:5" x14ac:dyDescent="0.3">
      <c r="A1" t="s">
        <v>831</v>
      </c>
    </row>
    <row r="3" spans="1:5" x14ac:dyDescent="0.3">
      <c r="A3" t="s">
        <v>629</v>
      </c>
      <c r="B3">
        <f>IF(AND(SETUPSECPG!B38 &gt;= 0,0 &lt; SETUPSECPG!B38),SETUPSECPG!B38,0)</f>
        <v>0</v>
      </c>
      <c r="E3" s="3"/>
    </row>
    <row r="4" spans="1:5" x14ac:dyDescent="0.3">
      <c r="A4" t="s">
        <v>332</v>
      </c>
      <c r="B4">
        <f>IF(B3 &lt; SETUPSECPG!B39,SETUPSECPG!B39,B3)</f>
        <v>0</v>
      </c>
    </row>
    <row r="5" spans="1:5" x14ac:dyDescent="0.3">
      <c r="A5" t="s">
        <v>706</v>
      </c>
      <c r="B5">
        <f>IF(AND(SETUPSECPG!B43 &gt; 0,B4 &lt; SETUPSECPG!B43),SETUPSECPG!B43,B4)</f>
        <v>25114</v>
      </c>
    </row>
    <row r="6" spans="1:5" x14ac:dyDescent="0.3">
      <c r="A6" t="s">
        <v>707</v>
      </c>
      <c r="B6">
        <f>IF(B5 &lt; SETUPSECPG!B44,SETUPSECPG!B44,B5)</f>
        <v>25114</v>
      </c>
    </row>
    <row r="7" spans="1:5" x14ac:dyDescent="0.3">
      <c r="A7" t="s">
        <v>355</v>
      </c>
      <c r="B7">
        <f>IF(B6 &lt; SETUPSECPG!B45,SETUPSECPG!B45,B6)</f>
        <v>25114</v>
      </c>
    </row>
  </sheetData>
  <sheetProtection algorithmName="SHA-512" hashValue="VRj0er8q1ncmnfjc7ivOkz/eHhCjXi0nXQ7bTGNenCn5qFBT7Sctzf8aB9ROA62kQCBSMUU33krLeIW/eoFTZA==" saltValue="3/rWZKiRmlhV0DsYaFUTaA=="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A6B6-2F31-4D5A-9A6F-D1F5741C40E7}">
  <sheetPr codeName="Sheet22"/>
  <dimension ref="A1:E9"/>
  <sheetViews>
    <sheetView workbookViewId="0">
      <selection activeCell="E43" sqref="E43"/>
    </sheetView>
  </sheetViews>
  <sheetFormatPr defaultRowHeight="14.4" x14ac:dyDescent="0.3"/>
  <sheetData>
    <row r="1" spans="1:5" x14ac:dyDescent="0.3">
      <c r="A1" t="s">
        <v>831</v>
      </c>
    </row>
    <row r="3" spans="1:5" x14ac:dyDescent="0.3">
      <c r="A3" t="s">
        <v>356</v>
      </c>
    </row>
    <row r="4" spans="1:5" x14ac:dyDescent="0.3">
      <c r="A4" t="s">
        <v>357</v>
      </c>
    </row>
    <row r="6" spans="1:5" x14ac:dyDescent="0.3">
      <c r="A6" t="s">
        <v>699</v>
      </c>
      <c r="B6" t="s">
        <v>701</v>
      </c>
      <c r="E6" s="3"/>
    </row>
    <row r="7" spans="1:5" x14ac:dyDescent="0.3">
      <c r="A7" t="s">
        <v>700</v>
      </c>
      <c r="B7" t="s">
        <v>702</v>
      </c>
    </row>
    <row r="9" spans="1:5" x14ac:dyDescent="0.3">
      <c r="A9" t="s">
        <v>358</v>
      </c>
      <c r="B9">
        <f>IF('main calculation sheet'!B57 = 1,0,IF('Ins&amp;Outs'!B30 &gt; 15,15,'Ins&amp;Outs'!B30))</f>
        <v>15</v>
      </c>
    </row>
  </sheetData>
  <sheetProtection algorithmName="SHA-512" hashValue="LzX7/E72g5NKxygHmqPVacv0tpmv66fQQZ5Hxw2qwOi+bgSB3Y0c8wPq6DhvLjEwttiTa15IWif+tPN4rJfAxQ==" saltValue="uWX1wMCbaDoq5Z3zdVPGdw==" spinCount="100000" sheet="1" objects="1" scenario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844C-5162-45D7-9490-10150602C132}">
  <sheetPr codeName="Sheet23"/>
  <dimension ref="A1:B7"/>
  <sheetViews>
    <sheetView workbookViewId="0">
      <selection activeCell="E43" sqref="E43"/>
    </sheetView>
  </sheetViews>
  <sheetFormatPr defaultRowHeight="14.4" x14ac:dyDescent="0.3"/>
  <cols>
    <col min="1" max="1" width="15.109375" customWidth="1"/>
  </cols>
  <sheetData>
    <row r="1" spans="1:2" x14ac:dyDescent="0.3">
      <c r="A1" t="s">
        <v>831</v>
      </c>
    </row>
    <row r="2" spans="1:2" x14ac:dyDescent="0.3">
      <c r="A2" t="s">
        <v>359</v>
      </c>
    </row>
    <row r="4" spans="1:2" x14ac:dyDescent="0.3">
      <c r="A4" t="s">
        <v>360</v>
      </c>
      <c r="B4">
        <f>IF(AND('Ins&amp;Outs'!B18='Projectile Data'!B7,OR('Ins&amp;Outs'!B21='Projectile Data'!B107,'Ins&amp;Outs'!B21='Projectile Data'!B108,'Ins&amp;Outs'!B21='Projectile Data'!B109)),IF('Ins&amp;Outs'!B21='Projectile Data'!B109,1,2),0)</f>
        <v>0</v>
      </c>
    </row>
    <row r="5" spans="1:2" x14ac:dyDescent="0.3">
      <c r="A5" t="s">
        <v>361</v>
      </c>
      <c r="B5">
        <f>1-(1.1*(('Ins&amp;Outs'!B9-('Ins&amp;Outs'!B9-'Ins&amp;Outs'!B12-'Ins&amp;Outs'!B15))/'Ins&amp;Outs'!B9)-0.0268)</f>
        <v>0.89955691184141884</v>
      </c>
    </row>
    <row r="6" spans="1:2" x14ac:dyDescent="0.3">
      <c r="A6" t="s">
        <v>362</v>
      </c>
      <c r="B6">
        <f>INT(1000*B5+0.5)</f>
        <v>900</v>
      </c>
    </row>
    <row r="7" spans="1:2" x14ac:dyDescent="0.3">
      <c r="A7" t="s">
        <v>363</v>
      </c>
      <c r="B7">
        <f>IF((B6/1000) &gt; 1,1,B6/1000)</f>
        <v>0.9</v>
      </c>
    </row>
  </sheetData>
  <sheetProtection algorithmName="SHA-512" hashValue="kz8DA19JxwJUjjAf3nDXn917HyvKBu6WfpI0/0qBJ1kYZHC4LnWUkezm2n5t1lAguts/NuwtO4pE+RWZawSDiw==" saltValue="wvOtkbPQhQjCCy5ALrn2+A==" spinCount="100000" sheet="1" objects="1" scenario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2E830-3133-49C5-9F84-BA750EB326B1}">
  <sheetPr codeName="Sheet24"/>
  <dimension ref="A1:D11"/>
  <sheetViews>
    <sheetView workbookViewId="0">
      <selection activeCell="E43" sqref="E43"/>
    </sheetView>
  </sheetViews>
  <sheetFormatPr defaultRowHeight="14.4" x14ac:dyDescent="0.3"/>
  <sheetData>
    <row r="1" spans="1:4" x14ac:dyDescent="0.3">
      <c r="A1" t="s">
        <v>831</v>
      </c>
    </row>
    <row r="3" spans="1:4" x14ac:dyDescent="0.3">
      <c r="A3" t="s">
        <v>331</v>
      </c>
      <c r="B3" t="b">
        <f>IF(OR(DAMAGECALC!B29 &gt; 0,BLPLUSEX!B104 = 2),TRUE,FALSE)</f>
        <v>1</v>
      </c>
      <c r="D3" s="3"/>
    </row>
    <row r="4" spans="1:4" x14ac:dyDescent="0.3">
      <c r="A4" t="s">
        <v>365</v>
      </c>
      <c r="B4" t="b">
        <f>IF(OR(CALCBL!B24 &lt;= 0,AND(CALCBL!B24 &gt; 0,('Ins&amp;Outs'!B30-BLPLUSEX!B108) &gt;= CALCBL!B24),AND('main calculation sheet'!B57 = 1,'main calculation sheet'!B28 &lt;&gt; 2)),TRUE,FALSE)</f>
        <v>1</v>
      </c>
      <c r="D4" s="3"/>
    </row>
    <row r="6" spans="1:4" x14ac:dyDescent="0.3">
      <c r="A6" t="s">
        <v>366</v>
      </c>
      <c r="B6">
        <f>IF(AND(B3=TRUE,B4=FALSE,MODIFYVDF!B23 &gt; MODIFYVDF!B25),MODIFYVDF!B25,MODIFYVDF!B23)</f>
        <v>5453</v>
      </c>
      <c r="D6" s="3"/>
    </row>
    <row r="7" spans="1:4" x14ac:dyDescent="0.3">
      <c r="A7" t="s">
        <v>367</v>
      </c>
      <c r="B7">
        <f>IF(AND(B3=TRUE,B4=FALSE,'main calculation sheet'!B57 = 1),CALCBL!B49,CALCBL!B43)</f>
        <v>6238</v>
      </c>
      <c r="D7" s="3"/>
    </row>
    <row r="9" spans="1:4" x14ac:dyDescent="0.3">
      <c r="A9" t="s">
        <v>364</v>
      </c>
      <c r="B9">
        <f>IF(OR(B3=FALSE,AND(B3=TRUE,B4=FALSE)),1,0)</f>
        <v>0</v>
      </c>
    </row>
    <row r="11" spans="1:4" x14ac:dyDescent="0.3">
      <c r="A11" t="s">
        <v>299</v>
      </c>
      <c r="B11">
        <f>IF(AND(BLPLUSEX!B104 &gt; 0,B9=0),4,DAMAGECALC!B11)</f>
        <v>4</v>
      </c>
      <c r="D11" s="3"/>
    </row>
  </sheetData>
  <sheetProtection algorithmName="SHA-512" hashValue="TwXRe008kIXzwKwuWfrPo2PCZr7FMY3bwbb50eP+OvJkUEctsF2LwRkkpvqtXf/FZ02pW/yLeesUuMDATa6tIg==" saltValue="gNCyLlZIe8K0YbsUYASXfw==" spinCount="100000" sheet="1" objects="1" scenario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8DBE-3E78-4EF8-8B2C-74F17A248651}">
  <sheetPr codeName="Sheet25"/>
  <dimension ref="A1:M72"/>
  <sheetViews>
    <sheetView workbookViewId="0">
      <selection activeCell="E43" sqref="E43"/>
    </sheetView>
  </sheetViews>
  <sheetFormatPr defaultRowHeight="14.4" x14ac:dyDescent="0.3"/>
  <cols>
    <col min="3" max="8" width="6" customWidth="1"/>
  </cols>
  <sheetData>
    <row r="1" spans="1:4" x14ac:dyDescent="0.3">
      <c r="A1" t="s">
        <v>831</v>
      </c>
    </row>
    <row r="2" spans="1:4" x14ac:dyDescent="0.3">
      <c r="A2" t="s">
        <v>368</v>
      </c>
    </row>
    <row r="4" spans="1:4" x14ac:dyDescent="0.3">
      <c r="D4" s="3"/>
    </row>
    <row r="10" spans="1:4" x14ac:dyDescent="0.3">
      <c r="A10" t="s">
        <v>369</v>
      </c>
      <c r="B10">
        <f>IF(FINALRESULTS!B9 &gt;= 0,(FINALRESULTS!B9^2 + FINALRESULTS!B7^2)/2,0)</f>
        <v>175825</v>
      </c>
    </row>
    <row r="11" spans="1:4" x14ac:dyDescent="0.3">
      <c r="A11" t="s">
        <v>370</v>
      </c>
      <c r="B11">
        <f>SQRT(B10)</f>
        <v>419.31491745465007</v>
      </c>
    </row>
    <row r="12" spans="1:4" x14ac:dyDescent="0.3">
      <c r="A12" t="s">
        <v>371</v>
      </c>
      <c r="B12">
        <f>INT(B11+0.5)</f>
        <v>419</v>
      </c>
    </row>
    <row r="14" spans="1:4" x14ac:dyDescent="0.3">
      <c r="A14" t="s">
        <v>769</v>
      </c>
      <c r="B14" t="str">
        <f>IF(FINALRESULTS!B6 &gt; 0.05,"&amp; Delta Plug ","")</f>
        <v xml:space="preserve">&amp; Delta Plug </v>
      </c>
    </row>
    <row r="17" spans="1:13" x14ac:dyDescent="0.3">
      <c r="A17" t="s">
        <v>554</v>
      </c>
      <c r="I17" t="s">
        <v>768</v>
      </c>
      <c r="J17" t="s">
        <v>770</v>
      </c>
      <c r="K17" t="s">
        <v>771</v>
      </c>
      <c r="L17" t="s">
        <v>772</v>
      </c>
      <c r="M17" t="s">
        <v>773</v>
      </c>
    </row>
    <row r="18" spans="1:13" x14ac:dyDescent="0.3">
      <c r="A18">
        <v>975</v>
      </c>
      <c r="B18" t="b">
        <f>IF(FINALRESULTS!B9 &lt; 0,TRUE,FALSE)</f>
        <v>0</v>
      </c>
      <c r="I18" t="str">
        <f>""</f>
        <v/>
      </c>
      <c r="J18" t="str">
        <f>""</f>
        <v/>
      </c>
      <c r="K18" t="str">
        <f>""</f>
        <v/>
      </c>
      <c r="L18" t="str">
        <f>""</f>
        <v/>
      </c>
      <c r="M18" t="str">
        <f>""</f>
        <v/>
      </c>
    </row>
    <row r="19" spans="1:13" x14ac:dyDescent="0.3">
      <c r="A19">
        <v>978</v>
      </c>
      <c r="B19" t="b">
        <f>IF(FINALRESULTS!B9 &lt; 0,FALSE,TRUE)</f>
        <v>1</v>
      </c>
      <c r="I19" t="str">
        <f>I18</f>
        <v/>
      </c>
      <c r="J19" t="str">
        <f t="shared" ref="J19:M23" si="0">J18</f>
        <v/>
      </c>
      <c r="K19" t="str">
        <f t="shared" si="0"/>
        <v/>
      </c>
      <c r="L19" t="str">
        <f t="shared" si="0"/>
        <v/>
      </c>
      <c r="M19" t="str">
        <f t="shared" si="0"/>
        <v/>
      </c>
    </row>
    <row r="20" spans="1:13" x14ac:dyDescent="0.3">
      <c r="A20">
        <v>987</v>
      </c>
      <c r="C20" t="b">
        <f>IF(OR('main calculation sheet'!B57 = 0,FINALRESULTS!B3 = 3),TRUE,FALSE)</f>
        <v>1</v>
      </c>
      <c r="I20" t="str">
        <f t="shared" ref="I20:I22" si="1">I19</f>
        <v/>
      </c>
      <c r="J20" t="str">
        <f t="shared" si="0"/>
        <v/>
      </c>
      <c r="K20" t="str">
        <f t="shared" si="0"/>
        <v/>
      </c>
      <c r="L20" t="str">
        <f t="shared" si="0"/>
        <v/>
      </c>
      <c r="M20" t="str">
        <f t="shared" si="0"/>
        <v/>
      </c>
    </row>
    <row r="21" spans="1:13" x14ac:dyDescent="0.3">
      <c r="A21">
        <v>989</v>
      </c>
      <c r="D21" t="b">
        <f>IF('Ins&amp;Outs'!B30 &lt; 45,TRUE,FALSE)</f>
        <v>0</v>
      </c>
      <c r="I21" t="str">
        <f t="shared" si="1"/>
        <v/>
      </c>
      <c r="J21" t="str">
        <f t="shared" si="0"/>
        <v/>
      </c>
      <c r="K21" t="str">
        <f t="shared" si="0"/>
        <v/>
      </c>
      <c r="L21" t="str">
        <f t="shared" si="0"/>
        <v/>
      </c>
      <c r="M21" t="str">
        <f t="shared" si="0"/>
        <v/>
      </c>
    </row>
    <row r="22" spans="1:13" x14ac:dyDescent="0.3">
      <c r="A22">
        <v>990</v>
      </c>
      <c r="E22" t="b">
        <f>IF(FINALRESULTS!B3 = 2,TRUE,FALSE)</f>
        <v>0</v>
      </c>
      <c r="I22" t="str">
        <f t="shared" si="1"/>
        <v/>
      </c>
      <c r="J22" t="str">
        <f t="shared" si="0"/>
        <v/>
      </c>
      <c r="K22" t="str">
        <f t="shared" si="0"/>
        <v/>
      </c>
      <c r="L22" t="str">
        <f>IF(AND($B19=TRUE,$C20=TRUE,$D21=TRUE,$E22=TRUE),"No Part of Projectile completely penetrates plate.",L21)</f>
        <v/>
      </c>
      <c r="M22" t="str">
        <f>M21</f>
        <v/>
      </c>
    </row>
    <row r="23" spans="1:13" x14ac:dyDescent="0.3">
      <c r="A23">
        <v>993</v>
      </c>
      <c r="E23" t="b">
        <f>IF(FINALRESULTS!B3 = 3,TRUE,FALSE)</f>
        <v>0</v>
      </c>
      <c r="I23" t="str">
        <f t="shared" ref="I23:M28" si="2">I22</f>
        <v/>
      </c>
      <c r="J23" t="str">
        <f t="shared" si="0"/>
        <v/>
      </c>
      <c r="K23" t="str">
        <f t="shared" si="0"/>
        <v/>
      </c>
      <c r="L23" t="str">
        <f t="shared" ref="L23" si="3">L22</f>
        <v/>
      </c>
      <c r="M23" t="str">
        <f t="shared" ref="M23" si="4">M22</f>
        <v/>
      </c>
    </row>
    <row r="24" spans="1:13" x14ac:dyDescent="0.3">
      <c r="A24">
        <v>994</v>
      </c>
      <c r="F24" s="1" t="b">
        <f>IF(OR('main calculation sheet'!B57 = 1,AND('main calculation sheet'!B57 = 0,AND(DAMAGECALC!B30 &gt; 0,DAMAGECALC!B30 &lt; 8))),TRUE,FALSE)</f>
        <v>1</v>
      </c>
      <c r="I24" t="str">
        <f t="shared" si="2"/>
        <v/>
      </c>
      <c r="J24" t="str">
        <f>IF(AND($B19=TRUE,$C20=TRUE,$D21=TRUE,$E23=TRUE,$F24=TRUE),"Nose Pieces ",J23)</f>
        <v/>
      </c>
      <c r="K24" t="str">
        <f t="shared" si="2"/>
        <v/>
      </c>
      <c r="L24" t="str">
        <f>IF(AND($B19=TRUE,$C20=TRUE,$D21=TRUE,$E23=TRUE,$F24=TRUE),"Projectile Body up to forward bourrelet fails to completely penetrate.",L23)</f>
        <v/>
      </c>
      <c r="M24" t="str">
        <f t="shared" si="2"/>
        <v/>
      </c>
    </row>
    <row r="25" spans="1:13" x14ac:dyDescent="0.3">
      <c r="A25">
        <v>997</v>
      </c>
      <c r="F25" t="b">
        <f>IF(OR('main calculation sheet'!B57 = 1,AND('main calculation sheet'!B57 = 0,AND(DAMAGECALC!B30 &gt; 0,DAMAGECALC!B30 &lt; 8))),FALSE,TRUE)</f>
        <v>0</v>
      </c>
      <c r="I25" t="str">
        <f t="shared" ref="I25:I30" si="5">I24</f>
        <v/>
      </c>
      <c r="J25" t="str">
        <f t="shared" ref="J25:J26" si="6">J24</f>
        <v/>
      </c>
      <c r="K25" t="str">
        <f t="shared" ref="K25:K28" si="7">K24</f>
        <v/>
      </c>
      <c r="L25" t="str">
        <f>IF(AND($B19=TRUE,$C20=TRUE,$D21=TRUE,$E23=TRUE,$F24=TRUE),"No Part of Projectile completely penetrates plate.",L24)</f>
        <v/>
      </c>
      <c r="M25" t="str">
        <f t="shared" si="2"/>
        <v/>
      </c>
    </row>
    <row r="26" spans="1:13" x14ac:dyDescent="0.3">
      <c r="A26">
        <v>1001</v>
      </c>
      <c r="E26" t="b">
        <f>IF(FINALRESULTS!B3 = 5,TRUE,FALSE)</f>
        <v>0</v>
      </c>
      <c r="I26" t="str">
        <f t="shared" si="5"/>
        <v/>
      </c>
      <c r="J26" t="str">
        <f t="shared" si="6"/>
        <v/>
      </c>
      <c r="K26" t="str">
        <f t="shared" si="7"/>
        <v/>
      </c>
      <c r="L26" t="str">
        <f t="shared" ref="L26:L28" si="8">L25</f>
        <v/>
      </c>
      <c r="M26" t="str">
        <f t="shared" si="2"/>
        <v/>
      </c>
    </row>
    <row r="27" spans="1:13" x14ac:dyDescent="0.3">
      <c r="A27">
        <v>1002</v>
      </c>
      <c r="F27" t="b">
        <f>IF(OR(DAMAGECALC!B30 = 0,DAMAGECALC!B30 = 8),TRUE,FALSE)</f>
        <v>0</v>
      </c>
      <c r="I27" t="str">
        <f t="shared" si="5"/>
        <v/>
      </c>
      <c r="J27" t="str">
        <f>IF(AND($B19=TRUE,$C20=TRUE,$D21=TRUE,$E26=TRUE,$F27=TRUE),"Nose &amp; Upper Body ",J26)</f>
        <v/>
      </c>
      <c r="K27" t="str">
        <f t="shared" si="7"/>
        <v/>
      </c>
      <c r="L27" t="str">
        <f t="shared" si="8"/>
        <v/>
      </c>
      <c r="M27" t="str">
        <f t="shared" si="2"/>
        <v/>
      </c>
    </row>
    <row r="28" spans="1:13" x14ac:dyDescent="0.3">
      <c r="A28">
        <v>1004</v>
      </c>
      <c r="F28" t="b">
        <f>IF(OR(DAMAGECALC!B30 = 0,DAMAGECALC!B30 = 8),FALSE,TRUE)</f>
        <v>1</v>
      </c>
      <c r="I28" t="str">
        <f t="shared" si="5"/>
        <v/>
      </c>
      <c r="J28" t="str">
        <f>IF(AND($B19=TRUE,$C20=TRUE,$D21=TRUE,$E26=TRUE,$F28=TRUE),"Nose Pieces &amp; Upper Body",J27)</f>
        <v/>
      </c>
      <c r="K28" t="str">
        <f t="shared" si="7"/>
        <v/>
      </c>
      <c r="L28" t="str">
        <f t="shared" si="8"/>
        <v/>
      </c>
      <c r="M28" t="str">
        <f t="shared" si="2"/>
        <v/>
      </c>
    </row>
    <row r="29" spans="1:13" x14ac:dyDescent="0.3">
      <c r="A29">
        <v>1007</v>
      </c>
      <c r="F29" t="b">
        <f>IF(RESULTSPRINT!B4 &lt; 2,TRUE,FALSE)</f>
        <v>1</v>
      </c>
      <c r="I29" t="str">
        <f t="shared" si="5"/>
        <v/>
      </c>
      <c r="J29" t="str">
        <f t="shared" ref="I29:J36" si="9">J28</f>
        <v/>
      </c>
      <c r="K29" t="str">
        <f t="shared" ref="K29:M42" si="10">K28</f>
        <v/>
      </c>
      <c r="L29" t="str">
        <f>IF(AND($B19=TRUE,$C20=TRUE,$D21=TRUE,$E26=TRUE,$F29=TRUE),"Projectile Lower Body fails to completely penetrate.",L28)</f>
        <v/>
      </c>
      <c r="M29" t="str">
        <f>IF(AND($B19=TRUE,$C20=TRUE,$D21=TRUE,$E26=TRUE,$F29=TRUE),"If Projectile Body not broken up, No Part of Projectile completely penetrates.",M28)</f>
        <v/>
      </c>
    </row>
    <row r="30" spans="1:13" x14ac:dyDescent="0.3">
      <c r="A30">
        <v>1010</v>
      </c>
      <c r="F30" t="b">
        <f>IF(RESULTSPRINT!B4 &lt; 2,FALSE,TRUE)</f>
        <v>0</v>
      </c>
      <c r="I30" t="str">
        <f t="shared" si="5"/>
        <v/>
      </c>
      <c r="J30" t="str">
        <f t="shared" si="9"/>
        <v/>
      </c>
      <c r="K30" t="str">
        <f t="shared" ref="K30:K32" si="11">K29</f>
        <v/>
      </c>
      <c r="L30" t="str">
        <f>IF(AND($B19=TRUE,$C20=TRUE,$D21=TRUE,$E26=TRUE,$F30=TRUE),"Projectile Lower Body Pieces fail to completely penetrate.",L29)</f>
        <v/>
      </c>
      <c r="M30" t="str">
        <f t="shared" si="10"/>
        <v/>
      </c>
    </row>
    <row r="31" spans="1:13" x14ac:dyDescent="0.3">
      <c r="A31">
        <v>1014</v>
      </c>
      <c r="E31" t="b">
        <f>IF(FINALRESULTS!B3 = 6,TRUE,FALSE)</f>
        <v>0</v>
      </c>
      <c r="I31" t="str">
        <f t="shared" ref="I31:I33" si="12">I30</f>
        <v/>
      </c>
      <c r="J31" t="str">
        <f t="shared" si="9"/>
        <v/>
      </c>
      <c r="K31" t="str">
        <f t="shared" si="11"/>
        <v/>
      </c>
      <c r="L31" t="str">
        <f t="shared" ref="L31:L32" si="13">L30</f>
        <v/>
      </c>
      <c r="M31" t="str">
        <f t="shared" si="10"/>
        <v/>
      </c>
    </row>
    <row r="32" spans="1:13" x14ac:dyDescent="0.3">
      <c r="A32">
        <v>1015</v>
      </c>
      <c r="F32" t="b">
        <f>IF(RESULTSPRINT!B4 = 1,TRUE,FALSE)</f>
        <v>1</v>
      </c>
      <c r="I32" t="str">
        <f t="shared" si="12"/>
        <v/>
      </c>
      <c r="J32" t="str">
        <f t="shared" si="9"/>
        <v/>
      </c>
      <c r="K32" t="str">
        <f t="shared" si="11"/>
        <v/>
      </c>
      <c r="L32" t="str">
        <f t="shared" si="13"/>
        <v/>
      </c>
      <c r="M32" t="str">
        <f t="shared" si="10"/>
        <v/>
      </c>
    </row>
    <row r="33" spans="1:13" x14ac:dyDescent="0.3">
      <c r="A33">
        <v>1016</v>
      </c>
      <c r="G33" t="b">
        <f>IF(FINALRESULTS!B9 &lt;&gt; FINALRESULTS!B7,TRUE,FALSE)</f>
        <v>1</v>
      </c>
      <c r="I33" t="str">
        <f t="shared" si="12"/>
        <v/>
      </c>
      <c r="J33" t="str">
        <f t="shared" si="9"/>
        <v/>
      </c>
      <c r="K33" t="str">
        <f>IF(AND($B19=TRUE,$C20=TRUE,$D21=TRUE,$E31=TRUE,$F32=TRUE,$G33=TRUE),"Lower Body ",K32)</f>
        <v/>
      </c>
      <c r="L33" t="str">
        <f t="shared" si="10"/>
        <v/>
      </c>
      <c r="M33" t="str">
        <f>IF(AND($B19=TRUE,$C20=TRUE,$D21=TRUE,$E31=TRUE,$F32=TRUE,$G33=TRUE),"If Proj not broken, it ",M32)</f>
        <v/>
      </c>
    </row>
    <row r="34" spans="1:13" x14ac:dyDescent="0.3">
      <c r="A34">
        <v>1017</v>
      </c>
      <c r="H34" t="b">
        <f>IF(OR(DAMAGECALC!B30 = 0,DAMAGECALC!B30 = 8),TRUE,FALSE)</f>
        <v>0</v>
      </c>
      <c r="I34" t="str">
        <f t="shared" si="9"/>
        <v/>
      </c>
      <c r="J34" t="str">
        <f>IF(AND($B19=TRUE,$C20=TRUE,$D21=TRUE,$E31=TRUE,$F32=TRUE,$G33=TRUE,$H34=TRUE),"Nose &amp; Upper Body ",J33)</f>
        <v/>
      </c>
      <c r="K34" t="str">
        <f t="shared" ref="K34:K37" si="14">K33</f>
        <v/>
      </c>
      <c r="L34" t="str">
        <f t="shared" si="10"/>
        <v/>
      </c>
      <c r="M34" t="str">
        <f t="shared" ref="M34:M41" si="15">M33</f>
        <v/>
      </c>
    </row>
    <row r="35" spans="1:13" x14ac:dyDescent="0.3">
      <c r="A35">
        <v>1019</v>
      </c>
      <c r="H35" t="b">
        <f>IF(OR(DAMAGECALC!B30 = 0,DAMAGECALC!B30 = 8),FALSE,TRUE)</f>
        <v>1</v>
      </c>
      <c r="I35" t="str">
        <f t="shared" si="9"/>
        <v/>
      </c>
      <c r="J35" t="str">
        <f>IF(AND($B19=TRUE,$C20=TRUE,$D21=TRUE,$E31=TRUE,$F32=TRUE,$G33=TRUE,$H35=TRUE),"Nose Pieces &amp; Upper Body ",J34)</f>
        <v/>
      </c>
      <c r="K35" t="str">
        <f t="shared" si="14"/>
        <v/>
      </c>
      <c r="L35" t="str">
        <f t="shared" si="10"/>
        <v/>
      </c>
      <c r="M35" t="str">
        <f t="shared" si="15"/>
        <v/>
      </c>
    </row>
    <row r="36" spans="1:13" x14ac:dyDescent="0.3">
      <c r="A36">
        <v>1024</v>
      </c>
      <c r="G36" t="b">
        <f>IF(FINALRESULTS!B9 &lt;&gt; FINALRESULTS!B7,FALSE,TRUE)</f>
        <v>0</v>
      </c>
      <c r="I36" t="str">
        <f t="shared" si="9"/>
        <v/>
      </c>
      <c r="J36" t="str">
        <f>IF(AND($B19=TRUE,$C20=TRUE,$D21=TRUE,$E31=TRUE,$F32=TRUE,$G36=TRUE),"Entire Projectile ",J35)</f>
        <v/>
      </c>
      <c r="K36" t="str">
        <f t="shared" si="14"/>
        <v/>
      </c>
      <c r="L36" t="str">
        <f t="shared" si="10"/>
        <v/>
      </c>
      <c r="M36" t="str">
        <f t="shared" si="15"/>
        <v/>
      </c>
    </row>
    <row r="37" spans="1:13" x14ac:dyDescent="0.3">
      <c r="A37">
        <v>1027</v>
      </c>
      <c r="F37" t="b">
        <f>IF(AND(F32=FALSE,RESULTSPRINT!B4 = 2),TRUE,FALSE)</f>
        <v>0</v>
      </c>
      <c r="I37" t="str">
        <f t="shared" ref="I37:I40" si="16">I36</f>
        <v/>
      </c>
      <c r="J37" t="str">
        <f t="shared" ref="J37" si="17">J36</f>
        <v/>
      </c>
      <c r="K37" t="str">
        <f t="shared" si="14"/>
        <v/>
      </c>
      <c r="L37" t="str">
        <f t="shared" si="10"/>
        <v/>
      </c>
      <c r="M37" t="str">
        <f t="shared" si="15"/>
        <v/>
      </c>
    </row>
    <row r="38" spans="1:13" x14ac:dyDescent="0.3">
      <c r="A38">
        <v>1028</v>
      </c>
      <c r="G38" t="b">
        <f>IF(FINALRESULTS!B9 &lt;&gt; FINALRESULTS!B7,TRUE,FALSE)</f>
        <v>1</v>
      </c>
      <c r="I38" t="str">
        <f t="shared" si="16"/>
        <v/>
      </c>
      <c r="J38" t="str">
        <f>IF(AND($B19=TRUE,$C20=TRUE,$D21=TRUE,$E31=TRUE,$F37=TRUE,$G38=TRUE),"Nose &amp; Upper Body Pieces ",J37)</f>
        <v/>
      </c>
      <c r="K38" t="str">
        <f>IF(AND($B19=TRUE,$C20=TRUE,$D21=TRUE,$E31=TRUE,$F37=TRUE,$G38=TRUE),"Lower Body Pieces ",K37)</f>
        <v/>
      </c>
      <c r="L38" t="str">
        <f t="shared" si="10"/>
        <v/>
      </c>
      <c r="M38" t="str">
        <f t="shared" si="15"/>
        <v/>
      </c>
    </row>
    <row r="39" spans="1:13" x14ac:dyDescent="0.3">
      <c r="A39">
        <v>1031</v>
      </c>
      <c r="G39" t="b">
        <f>IF(FINALRESULTS!B9 &lt;&gt; FINALRESULTS!B7,FALSE,TRUE)</f>
        <v>0</v>
      </c>
      <c r="I39" t="str">
        <f t="shared" si="16"/>
        <v/>
      </c>
      <c r="J39" t="str">
        <f>IF(AND($B19=TRUE,$C20=TRUE,$D21=TRUE,$E31=TRUE,$F37=TRUE,$G39=TRUE),"All Projectile Pieces ",J38)</f>
        <v/>
      </c>
      <c r="K39" t="str">
        <f t="shared" ref="K39:M43" si="18">K38</f>
        <v/>
      </c>
      <c r="L39" t="str">
        <f t="shared" si="10"/>
        <v/>
      </c>
      <c r="M39" t="str">
        <f t="shared" si="15"/>
        <v/>
      </c>
    </row>
    <row r="40" spans="1:13" x14ac:dyDescent="0.3">
      <c r="A40">
        <v>1034</v>
      </c>
      <c r="F40" t="b">
        <f>IF(AND(F32=FALSE,F37=FALSE),TRUE,FALSE)</f>
        <v>0</v>
      </c>
      <c r="I40" t="str">
        <f t="shared" si="16"/>
        <v/>
      </c>
      <c r="J40" t="str">
        <f>IF(AND($B19=TRUE,$C20=TRUE,$D21=TRUE,$E31=TRUE,$F40=TRUE),"Entire Projectile ",J39)</f>
        <v/>
      </c>
      <c r="K40" t="str">
        <f t="shared" si="18"/>
        <v/>
      </c>
      <c r="L40" t="str">
        <f t="shared" si="10"/>
        <v/>
      </c>
      <c r="M40" t="str">
        <f t="shared" si="15"/>
        <v/>
      </c>
    </row>
    <row r="41" spans="1:13" x14ac:dyDescent="0.3">
      <c r="A41">
        <v>1039</v>
      </c>
      <c r="D41" t="b">
        <f>IF('Ins&amp;Outs'!B30 &lt; 45,FALSE,TRUE)</f>
        <v>1</v>
      </c>
      <c r="I41" t="str">
        <f t="shared" ref="I41:M46" si="19">I40</f>
        <v/>
      </c>
      <c r="J41" t="str">
        <f t="shared" ref="J41:J44" si="20">J40</f>
        <v/>
      </c>
      <c r="K41" t="str">
        <f t="shared" si="18"/>
        <v/>
      </c>
      <c r="L41" t="str">
        <f t="shared" si="10"/>
        <v/>
      </c>
      <c r="M41" t="str">
        <f t="shared" si="15"/>
        <v/>
      </c>
    </row>
    <row r="42" spans="1:13" x14ac:dyDescent="0.3">
      <c r="A42">
        <v>1041</v>
      </c>
      <c r="E42" t="b">
        <f>IF(FINALRESULTS!B3 = 2,TRUE,FALSE)</f>
        <v>0</v>
      </c>
      <c r="I42" t="str">
        <f t="shared" si="19"/>
        <v/>
      </c>
      <c r="J42" t="str">
        <f t="shared" si="20"/>
        <v/>
      </c>
      <c r="K42" t="str">
        <f t="shared" si="18"/>
        <v/>
      </c>
      <c r="L42" t="str">
        <f>IF(AND($B19=TRUE,$C20=TRUE,$D41=TRUE,$E42=TRUE),"No Part of Projectile completely penetrates plate.",L41)</f>
        <v/>
      </c>
      <c r="M42" t="str">
        <f t="shared" si="10"/>
        <v/>
      </c>
    </row>
    <row r="43" spans="1:13" x14ac:dyDescent="0.3">
      <c r="A43">
        <v>1044</v>
      </c>
      <c r="E43" t="b">
        <f>IF(FINALRESULTS!B3 = 3,TRUE,FALSE)</f>
        <v>0</v>
      </c>
      <c r="I43" t="str">
        <f t="shared" si="19"/>
        <v/>
      </c>
      <c r="J43" t="str">
        <f t="shared" si="20"/>
        <v/>
      </c>
      <c r="K43" t="str">
        <f t="shared" ref="K43" si="21">K42</f>
        <v/>
      </c>
      <c r="L43" t="str">
        <f>IF(AND($B19=TRUE,$C20=TRUE,$D41=TRUE,$E43=TRUE),"Entire Projectile ricochets off of plate.",L42)</f>
        <v/>
      </c>
      <c r="M43" t="str">
        <f t="shared" si="18"/>
        <v/>
      </c>
    </row>
    <row r="44" spans="1:13" x14ac:dyDescent="0.3">
      <c r="A44">
        <v>1048</v>
      </c>
      <c r="E44" t="b">
        <f>IF(FINALRESULTS!B3 = 4,TRUE,FALSE)</f>
        <v>1</v>
      </c>
      <c r="I44" t="str">
        <f t="shared" si="19"/>
        <v/>
      </c>
      <c r="J44" t="str">
        <f t="shared" si="20"/>
        <v/>
      </c>
      <c r="K44" t="str">
        <f t="shared" ref="K44" si="22">K43</f>
        <v/>
      </c>
      <c r="L44" t="str">
        <f t="shared" ref="L44" si="23">L43</f>
        <v/>
      </c>
      <c r="M44" t="str">
        <f>IF(AND($B19=TRUE,$C20=TRUE,$D41=TRUE,$E44=TRUE),"If Projectile Body not broken up, All of Projectile ricochets off of plate.",M43)</f>
        <v>If Projectile Body not broken up, All of Projectile ricochets off of plate.</v>
      </c>
    </row>
    <row r="45" spans="1:13" x14ac:dyDescent="0.3">
      <c r="A45">
        <v>1049</v>
      </c>
      <c r="F45" t="b">
        <f>IF(OR(DAMAGECALC!B30 = 0,DAMAGECALC!B30 = 8),TRUE,FALSE)</f>
        <v>0</v>
      </c>
      <c r="I45" t="str">
        <f t="shared" si="19"/>
        <v/>
      </c>
      <c r="J45" t="str">
        <f>IF(AND($B19=TRUE,$C20=TRUE,$D41=TRUE,$E44=TRUE,$F45=TRUE),"Lower Body ",J44)</f>
        <v/>
      </c>
      <c r="K45" t="str">
        <f t="shared" si="19"/>
        <v/>
      </c>
      <c r="L45" t="str">
        <f>IF(AND($B19=TRUE,$C20=TRUE,$D41=TRUE,$E44=TRUE,$F45=TRUE),"Projectile Nose &amp; Upper Body ricochet off of plate.",L44)</f>
        <v/>
      </c>
      <c r="M45" t="str">
        <f t="shared" si="19"/>
        <v>If Projectile Body not broken up, All of Projectile ricochets off of plate.</v>
      </c>
    </row>
    <row r="46" spans="1:13" x14ac:dyDescent="0.3">
      <c r="A46">
        <v>1052</v>
      </c>
      <c r="F46" t="b">
        <f>IF(OR(DAMAGECALC!B30 = 0,DAMAGECALC!B30 = 8),FALSE,TRUE)</f>
        <v>1</v>
      </c>
      <c r="I46" t="str">
        <f t="shared" si="19"/>
        <v/>
      </c>
      <c r="J46" t="str">
        <f>IF(AND($B19=TRUE,$C20=TRUE,$D41=TRUE,$E44=TRUE,$F46=TRUE),"Lower Body &amp; Some Nose Pieces ",J45)</f>
        <v xml:space="preserve">Lower Body &amp; Some Nose Pieces </v>
      </c>
      <c r="K46" t="str">
        <f t="shared" si="19"/>
        <v/>
      </c>
      <c r="L46" t="str">
        <f>IF(AND($B19=TRUE,$C20=TRUE,$D41=TRUE,$E44=TRUE,$F46=TRUE),"Most of Projectile Nose &amp; Upper Body Pieces ricochet off of plate.",L45)</f>
        <v>Most of Projectile Nose &amp; Upper Body Pieces ricochet off of plate.</v>
      </c>
      <c r="M46" t="str">
        <f t="shared" si="19"/>
        <v>If Projectile Body not broken up, All of Projectile ricochets off of plate.</v>
      </c>
    </row>
    <row r="47" spans="1:13" x14ac:dyDescent="0.3">
      <c r="A47">
        <v>1058</v>
      </c>
      <c r="E47" t="b">
        <f>IF(FINALRESULTS!B3 = 6,TRUE,FALSE)</f>
        <v>0</v>
      </c>
      <c r="I47" t="str">
        <f t="shared" ref="I47:I49" si="24">I46</f>
        <v/>
      </c>
      <c r="J47" t="str">
        <f t="shared" ref="J47:J48" si="25">J46</f>
        <v xml:space="preserve">Lower Body &amp; Some Nose Pieces </v>
      </c>
      <c r="K47" t="str">
        <f t="shared" ref="K47:K49" si="26">K46</f>
        <v/>
      </c>
      <c r="L47" t="str">
        <f t="shared" ref="L47" si="27">L46</f>
        <v>Most of Projectile Nose &amp; Upper Body Pieces ricochet off of plate.</v>
      </c>
      <c r="M47" t="str">
        <f t="shared" ref="M47" si="28">M46</f>
        <v>If Projectile Body not broken up, All of Projectile ricochets off of plate.</v>
      </c>
    </row>
    <row r="48" spans="1:13" x14ac:dyDescent="0.3">
      <c r="A48">
        <v>1059</v>
      </c>
      <c r="F48" t="b">
        <f>IF(RESULTSPRINT!B4 = 1,TRUE,FALSE)</f>
        <v>1</v>
      </c>
      <c r="I48" t="str">
        <f t="shared" si="24"/>
        <v/>
      </c>
      <c r="J48" t="str">
        <f t="shared" si="25"/>
        <v xml:space="preserve">Lower Body &amp; Some Nose Pieces </v>
      </c>
      <c r="K48" t="str">
        <f t="shared" si="26"/>
        <v/>
      </c>
      <c r="L48" t="str">
        <f t="shared" ref="L48:L62" si="29">L47</f>
        <v>Most of Projectile Nose &amp; Upper Body Pieces ricochet off of plate.</v>
      </c>
      <c r="M48" t="str">
        <f>IF(AND($B19=TRUE,$C20=TRUE,$D41=TRUE,$E47=TRUE,$F48=TRUE),"If Proj not broken, it ",M47)</f>
        <v>If Projectile Body not broken up, All of Projectile ricochets off of plate.</v>
      </c>
    </row>
    <row r="49" spans="1:13" x14ac:dyDescent="0.3">
      <c r="A49">
        <v>1060</v>
      </c>
      <c r="G49" t="b">
        <f>IF(FINALRESULTS!B9 &lt;&gt; FINALRESULTS!B7,TRUE,FALSE)</f>
        <v>1</v>
      </c>
      <c r="I49" t="str">
        <f t="shared" si="24"/>
        <v/>
      </c>
      <c r="J49" t="str">
        <f>IF(AND($B19=TRUE,$C20=TRUE,$D41=TRUE,$E47=TRUE,$F48=TRUE,$G49=TRUE),"Lower Body ",J48)</f>
        <v xml:space="preserve">Lower Body &amp; Some Nose Pieces </v>
      </c>
      <c r="K49" t="str">
        <f t="shared" si="26"/>
        <v/>
      </c>
      <c r="L49" t="str">
        <f t="shared" si="29"/>
        <v>Most of Projectile Nose &amp; Upper Body Pieces ricochet off of plate.</v>
      </c>
      <c r="M49" t="str">
        <f t="shared" ref="M49:M62" si="30">M48</f>
        <v>If Projectile Body not broken up, All of Projectile ricochets off of plate.</v>
      </c>
    </row>
    <row r="50" spans="1:13" x14ac:dyDescent="0.3">
      <c r="A50">
        <v>1061</v>
      </c>
      <c r="H50" t="b">
        <f>IF(OR(DAMAGECALC!B30 = 0,DAMAGECALC!B30 = 8),TRUE,FALSE)</f>
        <v>0</v>
      </c>
      <c r="I50" t="str">
        <f t="shared" ref="I50" si="31">I49</f>
        <v/>
      </c>
      <c r="J50" t="str">
        <f t="shared" ref="J50:J51" si="32">J49</f>
        <v xml:space="preserve">Lower Body &amp; Some Nose Pieces </v>
      </c>
      <c r="K50" t="str">
        <f>IF(AND($B19=TRUE,$C20=TRUE,$D41=TRUE,$E47=TRUE,$F48=TRUE,$G49=TRUE,$H50=TRUE),"Nose &amp; Upper Body ",K49)</f>
        <v/>
      </c>
      <c r="L50" t="str">
        <f t="shared" si="29"/>
        <v>Most of Projectile Nose &amp; Upper Body Pieces ricochet off of plate.</v>
      </c>
      <c r="M50" t="str">
        <f t="shared" si="30"/>
        <v>If Projectile Body not broken up, All of Projectile ricochets off of plate.</v>
      </c>
    </row>
    <row r="51" spans="1:13" x14ac:dyDescent="0.3">
      <c r="A51">
        <v>1063</v>
      </c>
      <c r="H51" t="b">
        <f>IF(OR(DAMAGECALC!B30 = 0,DAMAGECALC!B30 = 8),FALSE,TRUE)</f>
        <v>1</v>
      </c>
      <c r="I51" t="str">
        <f t="shared" ref="I51:I52" si="33">I50</f>
        <v/>
      </c>
      <c r="J51" t="str">
        <f t="shared" si="32"/>
        <v xml:space="preserve">Lower Body &amp; Some Nose Pieces </v>
      </c>
      <c r="K51" t="str">
        <f>IF(AND($B19=TRUE,$C20=TRUE,$D41=TRUE,$E47=TRUE,$F48=TRUE,$G49=TRUE,$H51=TRUE),"Nose Pieces &amp; Upper Body ",K50)</f>
        <v/>
      </c>
      <c r="L51" t="str">
        <f t="shared" si="29"/>
        <v>Most of Projectile Nose &amp; Upper Body Pieces ricochet off of plate.</v>
      </c>
      <c r="M51" t="str">
        <f t="shared" si="30"/>
        <v>If Projectile Body not broken up, All of Projectile ricochets off of plate.</v>
      </c>
    </row>
    <row r="52" spans="1:13" x14ac:dyDescent="0.3">
      <c r="A52">
        <v>1067</v>
      </c>
      <c r="G52" t="b">
        <f>IF(FINALRESULTS!B9 &lt;&gt; FINALRESULTS!B7,FALSE,TRUE)</f>
        <v>0</v>
      </c>
      <c r="I52" t="str">
        <f t="shared" si="33"/>
        <v/>
      </c>
      <c r="J52" t="str">
        <f>IF(AND($B19=TRUE,$C20=TRUE,$D41=TRUE,$E47=TRUE,$F48=TRUE,$G52=TRUE),"Entire Projectile ",J51)</f>
        <v xml:space="preserve">Lower Body &amp; Some Nose Pieces </v>
      </c>
      <c r="K52" t="str">
        <f t="shared" ref="K52:K53" si="34">K51</f>
        <v/>
      </c>
      <c r="L52" t="str">
        <f t="shared" si="29"/>
        <v>Most of Projectile Nose &amp; Upper Body Pieces ricochet off of plate.</v>
      </c>
      <c r="M52" t="str">
        <f t="shared" si="30"/>
        <v>If Projectile Body not broken up, All of Projectile ricochets off of plate.</v>
      </c>
    </row>
    <row r="53" spans="1:13" x14ac:dyDescent="0.3">
      <c r="A53">
        <v>1071</v>
      </c>
      <c r="F53" t="b">
        <f>IF(AND(F48=FALSE,RESULTSPRINT!B4 = 2),TRUE,FALSE)</f>
        <v>0</v>
      </c>
      <c r="I53" t="str">
        <f t="shared" ref="I53:I56" si="35">I52</f>
        <v/>
      </c>
      <c r="J53" t="str">
        <f t="shared" ref="J53" si="36">J52</f>
        <v xml:space="preserve">Lower Body &amp; Some Nose Pieces </v>
      </c>
      <c r="K53" t="str">
        <f t="shared" si="34"/>
        <v/>
      </c>
      <c r="L53" t="str">
        <f t="shared" si="29"/>
        <v>Most of Projectile Nose &amp; Upper Body Pieces ricochet off of plate.</v>
      </c>
      <c r="M53" t="str">
        <f t="shared" si="30"/>
        <v>If Projectile Body not broken up, All of Projectile ricochets off of plate.</v>
      </c>
    </row>
    <row r="54" spans="1:13" x14ac:dyDescent="0.3">
      <c r="A54">
        <v>1072</v>
      </c>
      <c r="G54" t="b">
        <f>IF(FINALRESULTS!B9 &lt;&gt; FINALRESULTS!B7,TRUE,FALSE)</f>
        <v>1</v>
      </c>
      <c r="I54" t="str">
        <f t="shared" si="35"/>
        <v/>
      </c>
      <c r="J54" t="str">
        <f>IF(AND($B19=TRUE,$C20=TRUE,$D41=TRUE,$E47=TRUE,$F53=TRUE,$G54=TRUE),"Lower Body Pieces ",J53)</f>
        <v xml:space="preserve">Lower Body &amp; Some Nose Pieces </v>
      </c>
      <c r="K54" t="str">
        <f>IF(AND($B19=TRUE,$C20=TRUE,$D41=TRUE,$E47=TRUE,$F53=TRUE,$G54=TRUE),"Nose &amp; Upper Body Pieces ",K53)</f>
        <v/>
      </c>
      <c r="L54" t="str">
        <f t="shared" si="29"/>
        <v>Most of Projectile Nose &amp; Upper Body Pieces ricochet off of plate.</v>
      </c>
      <c r="M54" t="str">
        <f t="shared" si="30"/>
        <v>If Projectile Body not broken up, All of Projectile ricochets off of plate.</v>
      </c>
    </row>
    <row r="55" spans="1:13" x14ac:dyDescent="0.3">
      <c r="A55">
        <v>1075</v>
      </c>
      <c r="G55" t="b">
        <f>IF(FINALRESULTS!B9 &lt;&gt; FINALRESULTS!B7,FALSE,TRUE)</f>
        <v>0</v>
      </c>
      <c r="I55" t="str">
        <f t="shared" si="35"/>
        <v/>
      </c>
      <c r="J55" t="str">
        <f>IF(AND($B19=TRUE,$C20=TRUE,$D41=TRUE,$E47=TRUE,$F53=TRUE,$G55=TRUE),"All Pieces ",J54)</f>
        <v xml:space="preserve">Lower Body &amp; Some Nose Pieces </v>
      </c>
      <c r="K55" t="str">
        <f t="shared" ref="K55:K59" si="37">K54</f>
        <v/>
      </c>
      <c r="L55" t="str">
        <f t="shared" si="29"/>
        <v>Most of Projectile Nose &amp; Upper Body Pieces ricochet off of plate.</v>
      </c>
      <c r="M55" t="str">
        <f t="shared" si="30"/>
        <v>If Projectile Body not broken up, All of Projectile ricochets off of plate.</v>
      </c>
    </row>
    <row r="56" spans="1:13" x14ac:dyDescent="0.3">
      <c r="A56">
        <v>1078</v>
      </c>
      <c r="F56" t="b">
        <f>IF(AND(F48=FALSE,F53=FALSE),TRUE,FALSE)</f>
        <v>0</v>
      </c>
      <c r="I56" t="str">
        <f t="shared" si="35"/>
        <v/>
      </c>
      <c r="J56" t="str">
        <f>IF(AND($B19=TRUE,$C20=TRUE,$D41=TRUE,$E47=TRUE,$F56=TRUE),"Entire Projectile ",J54)</f>
        <v xml:space="preserve">Lower Body &amp; Some Nose Pieces </v>
      </c>
      <c r="K56" t="str">
        <f t="shared" si="37"/>
        <v/>
      </c>
      <c r="L56" t="str">
        <f t="shared" si="29"/>
        <v>Most of Projectile Nose &amp; Upper Body Pieces ricochet off of plate.</v>
      </c>
      <c r="M56" t="str">
        <f t="shared" si="30"/>
        <v>If Projectile Body not broken up, All of Projectile ricochets off of plate.</v>
      </c>
    </row>
    <row r="57" spans="1:13" x14ac:dyDescent="0.3">
      <c r="A57">
        <v>1084</v>
      </c>
      <c r="C57" t="b">
        <f>IF(OR('main calculation sheet'!B57 = 0,FINALRESULTS!B3 = 3),FALSE,TRUE)</f>
        <v>0</v>
      </c>
      <c r="I57" t="str">
        <f t="shared" ref="I57:I58" si="38">I56</f>
        <v/>
      </c>
      <c r="J57" t="str">
        <f t="shared" ref="J57" si="39">J56</f>
        <v xml:space="preserve">Lower Body &amp; Some Nose Pieces </v>
      </c>
      <c r="K57" t="str">
        <f t="shared" si="37"/>
        <v/>
      </c>
      <c r="L57" t="str">
        <f t="shared" si="29"/>
        <v>Most of Projectile Nose &amp; Upper Body Pieces ricochet off of plate.</v>
      </c>
      <c r="M57" t="str">
        <f t="shared" si="30"/>
        <v>If Projectile Body not broken up, All of Projectile ricochets off of plate.</v>
      </c>
    </row>
    <row r="58" spans="1:13" x14ac:dyDescent="0.3">
      <c r="A58">
        <v>1087</v>
      </c>
      <c r="D58" t="b">
        <f>IF('Ins&amp;Outs'!B30 &lt; 45,TRUE,FALSE)</f>
        <v>0</v>
      </c>
      <c r="I58" t="str">
        <f t="shared" si="38"/>
        <v/>
      </c>
      <c r="J58" t="str">
        <f>IF(AND($B19=TRUE,$C57=TRUE,$D58=TRUE),"All Nose Pieces ",J57)</f>
        <v xml:space="preserve">Lower Body &amp; Some Nose Pieces </v>
      </c>
      <c r="K58" t="str">
        <f t="shared" si="37"/>
        <v/>
      </c>
      <c r="L58" t="str">
        <f t="shared" si="29"/>
        <v>Most of Projectile Nose &amp; Upper Body Pieces ricochet off of plate.</v>
      </c>
      <c r="M58" t="str">
        <f t="shared" si="30"/>
        <v>If Projectile Body not broken up, All of Projectile ricochets off of plate.</v>
      </c>
    </row>
    <row r="59" spans="1:13" x14ac:dyDescent="0.3">
      <c r="A59">
        <v>1089</v>
      </c>
      <c r="E59" t="b">
        <f>IF(FINALRESULTS!B7 &gt; 0,TRUE,FALSE)</f>
        <v>0</v>
      </c>
      <c r="I59" t="str">
        <f t="shared" ref="I59" si="40">I58</f>
        <v/>
      </c>
      <c r="J59" t="str">
        <f t="shared" ref="J59:J60" si="41">J58</f>
        <v xml:space="preserve">Lower Body &amp; Some Nose Pieces </v>
      </c>
      <c r="K59" t="str">
        <f t="shared" si="37"/>
        <v/>
      </c>
      <c r="L59" t="str">
        <f t="shared" si="29"/>
        <v>Most of Projectile Nose &amp; Upper Body Pieces ricochet off of plate.</v>
      </c>
      <c r="M59" t="str">
        <f t="shared" si="30"/>
        <v>If Projectile Body not broken up, All of Projectile ricochets off of plate.</v>
      </c>
    </row>
    <row r="60" spans="1:13" x14ac:dyDescent="0.3">
      <c r="A60">
        <v>1090</v>
      </c>
      <c r="F60" t="b">
        <f>IF(FINALRESULTS!B9 &lt;&gt; FINALRESULTS!B7,TRUE,FALSE)</f>
        <v>1</v>
      </c>
      <c r="I60" t="str">
        <f t="shared" ref="I60:I61" si="42">I59</f>
        <v/>
      </c>
      <c r="J60" t="str">
        <f t="shared" si="41"/>
        <v xml:space="preserve">Lower Body &amp; Some Nose Pieces </v>
      </c>
      <c r="K60" t="str">
        <f>IF(AND($B19=TRUE,$C57=TRUE,$D58=TRUE,$E59=TRUE,$F60=TRUE),"Body Pieces ",K59)</f>
        <v/>
      </c>
      <c r="L60" t="str">
        <f t="shared" si="29"/>
        <v>Most of Projectile Nose &amp; Upper Body Pieces ricochet off of plate.</v>
      </c>
      <c r="M60" t="str">
        <f t="shared" si="30"/>
        <v>If Projectile Body not broken up, All of Projectile ricochets off of plate.</v>
      </c>
    </row>
    <row r="61" spans="1:13" x14ac:dyDescent="0.3">
      <c r="A61">
        <v>1092</v>
      </c>
      <c r="F61" t="b">
        <f>IF(FINALRESULTS!B9 &lt;&gt; FINALRESULTS!B7,FALSE,TRUE)</f>
        <v>0</v>
      </c>
      <c r="I61" t="str">
        <f t="shared" si="42"/>
        <v/>
      </c>
      <c r="J61" t="str">
        <f>IF(AND($B19=TRUE,$C57=TRUE,$D58=TRUE,$E59=TRUE,$F61=TRUE),"All Pieces ",J60)</f>
        <v xml:space="preserve">Lower Body &amp; Some Nose Pieces </v>
      </c>
      <c r="K61" t="str">
        <f t="shared" ref="K61:M68" si="43">K60</f>
        <v/>
      </c>
      <c r="L61" t="str">
        <f t="shared" si="29"/>
        <v>Most of Projectile Nose &amp; Upper Body Pieces ricochet off of plate.</v>
      </c>
      <c r="M61" t="str">
        <f t="shared" si="30"/>
        <v>If Projectile Body not broken up, All of Projectile ricochets off of plate.</v>
      </c>
    </row>
    <row r="62" spans="1:13" x14ac:dyDescent="0.3">
      <c r="A62">
        <v>1095</v>
      </c>
      <c r="E62" t="b">
        <f>IF(FINALRESULTS!B7 &gt; 0,FALSE,TRUE)</f>
        <v>1</v>
      </c>
      <c r="I62" t="str">
        <f t="shared" ref="I62:I64" si="44">I61</f>
        <v/>
      </c>
      <c r="J62" t="str">
        <f t="shared" ref="J62:J63" si="45">J61</f>
        <v xml:space="preserve">Lower Body &amp; Some Nose Pieces </v>
      </c>
      <c r="K62" t="str">
        <f t="shared" si="43"/>
        <v/>
      </c>
      <c r="L62" t="str">
        <f t="shared" si="29"/>
        <v>Most of Projectile Nose &amp; Upper Body Pieces ricochet off of plate.</v>
      </c>
      <c r="M62" t="str">
        <f t="shared" si="30"/>
        <v>If Projectile Body not broken up, All of Projectile ricochets off of plate.</v>
      </c>
    </row>
    <row r="63" spans="1:13" x14ac:dyDescent="0.3">
      <c r="A63">
        <v>1096</v>
      </c>
      <c r="F63" t="b">
        <f>IF('Ins&amp;Outs'!B27 &gt;= MODIFYVDF!B24,TRUE,FALSE)</f>
        <v>1</v>
      </c>
      <c r="I63" t="str">
        <f t="shared" si="44"/>
        <v/>
      </c>
      <c r="J63" t="str">
        <f t="shared" si="45"/>
        <v xml:space="preserve">Lower Body &amp; Some Nose Pieces </v>
      </c>
      <c r="K63" t="str">
        <f t="shared" ref="K63:K64" si="46">K62</f>
        <v/>
      </c>
      <c r="L63" t="str">
        <f>IF(AND($B19=TRUE,$C57=TRUE,$D58=TRUE,$E62=TRUE,$F63=TRUE),"Projectile Body does not completely penetrate.",L62)</f>
        <v>Most of Projectile Nose &amp; Upper Body Pieces ricochet off of plate.</v>
      </c>
      <c r="M63" t="str">
        <f t="shared" si="43"/>
        <v>If Projectile Body not broken up, All of Projectile ricochets off of plate.</v>
      </c>
    </row>
    <row r="64" spans="1:13" x14ac:dyDescent="0.3">
      <c r="A64">
        <v>1100</v>
      </c>
      <c r="D64" t="b">
        <f>IF('Ins&amp;Outs'!B30 &lt; 45,FALSE,TRUE)</f>
        <v>1</v>
      </c>
      <c r="I64" t="str">
        <f t="shared" si="44"/>
        <v/>
      </c>
      <c r="J64" t="str">
        <f>IF(AND($B19=TRUE,$C57=TRUE,$D64=TRUE),"Body &amp; Some Nose Pieces ",J63)</f>
        <v xml:space="preserve">Lower Body &amp; Some Nose Pieces </v>
      </c>
      <c r="K64" t="str">
        <f t="shared" si="46"/>
        <v/>
      </c>
      <c r="L64" t="str">
        <f t="shared" ref="K64:L67" si="47">L63</f>
        <v>Most of Projectile Nose &amp; Upper Body Pieces ricochet off of plate.</v>
      </c>
      <c r="M64" t="str">
        <f t="shared" si="43"/>
        <v>If Projectile Body not broken up, All of Projectile ricochets off of plate.</v>
      </c>
    </row>
    <row r="65" spans="1:13" x14ac:dyDescent="0.3">
      <c r="A65">
        <v>1103</v>
      </c>
      <c r="E65" t="b">
        <f>IF(FINALRESULTS!B7 &gt; 0,TRUE,FALSE)</f>
        <v>0</v>
      </c>
      <c r="I65" t="str">
        <f t="shared" ref="I65" si="48">I64</f>
        <v/>
      </c>
      <c r="J65" t="str">
        <f t="shared" ref="J65:J66" si="49">J64</f>
        <v xml:space="preserve">Lower Body &amp; Some Nose Pieces </v>
      </c>
      <c r="K65" t="str">
        <f t="shared" si="47"/>
        <v/>
      </c>
      <c r="L65" t="str">
        <f t="shared" si="47"/>
        <v>Most of Projectile Nose &amp; Upper Body Pieces ricochet off of plate.</v>
      </c>
      <c r="M65" t="str">
        <f t="shared" si="43"/>
        <v>If Projectile Body not broken up, All of Projectile ricochets off of plate.</v>
      </c>
    </row>
    <row r="66" spans="1:13" x14ac:dyDescent="0.3">
      <c r="A66">
        <v>1104</v>
      </c>
      <c r="F66" t="b">
        <f>IF(FINALRESULTS!B9 &lt;&gt; FINALRESULTS!B7,TRUE,FALSE)</f>
        <v>1</v>
      </c>
      <c r="I66" t="str">
        <f t="shared" ref="I66:I67" si="50">I65</f>
        <v/>
      </c>
      <c r="J66" t="str">
        <f t="shared" si="49"/>
        <v xml:space="preserve">Lower Body &amp; Some Nose Pieces </v>
      </c>
      <c r="K66" t="str">
        <f>IF(AND($B19=TRUE,$C57=TRUE,$D64=TRUE,$E65=TRUE,$F66=TRUE),"Most Nose Pieces ",K65)</f>
        <v/>
      </c>
      <c r="L66" t="str">
        <f t="shared" si="47"/>
        <v>Most of Projectile Nose &amp; Upper Body Pieces ricochet off of plate.</v>
      </c>
      <c r="M66" t="str">
        <f t="shared" si="43"/>
        <v>If Projectile Body not broken up, All of Projectile ricochets off of plate.</v>
      </c>
    </row>
    <row r="67" spans="1:13" x14ac:dyDescent="0.3">
      <c r="A67">
        <v>1106</v>
      </c>
      <c r="F67" t="b">
        <f>IF(FINALRESULTS!B9 &lt;&gt; FINALRESULTS!B7,FALSE,TRUE)</f>
        <v>0</v>
      </c>
      <c r="I67" t="str">
        <f t="shared" si="50"/>
        <v/>
      </c>
      <c r="J67" t="str">
        <f>IF(AND($B19=TRUE,$C57=TRUE,$D64=TRUE,$E65=TRUE,$F67=TRUE),"All Pieces ",J66)</f>
        <v xml:space="preserve">Lower Body &amp; Some Nose Pieces </v>
      </c>
      <c r="K67" t="str">
        <f t="shared" ref="K67:K68" si="51">K66</f>
        <v/>
      </c>
      <c r="L67" t="str">
        <f t="shared" si="47"/>
        <v>Most of Projectile Nose &amp; Upper Body Pieces ricochet off of plate.</v>
      </c>
      <c r="M67" t="str">
        <f t="shared" si="43"/>
        <v>If Projectile Body not broken up, All of Projectile ricochets off of plate.</v>
      </c>
    </row>
    <row r="68" spans="1:13" x14ac:dyDescent="0.3">
      <c r="A68">
        <v>1109</v>
      </c>
      <c r="E68" t="b">
        <f>IF(FINALRESULTS!B7 &gt; 0,FALSE,TRUE)</f>
        <v>1</v>
      </c>
      <c r="I68" t="str">
        <f t="shared" ref="I68" si="52">I67</f>
        <v/>
      </c>
      <c r="J68" t="str">
        <f t="shared" ref="J68" si="53">J67</f>
        <v xml:space="preserve">Lower Body &amp; Some Nose Pieces </v>
      </c>
      <c r="K68" t="str">
        <f t="shared" si="51"/>
        <v/>
      </c>
      <c r="L68" t="str">
        <f>IF(AND($B19=TRUE,$C57=TRUE,$D64=TRUE,$E68=TRUE),"Most Projectile Nose Pieces do not completely penetrate.",L67)</f>
        <v>Most of Projectile Nose &amp; Upper Body Pieces ricochet off of plate.</v>
      </c>
      <c r="M68" t="str">
        <f t="shared" si="43"/>
        <v>If Projectile Body not broken up, All of Projectile ricochets off of plate.</v>
      </c>
    </row>
    <row r="70" spans="1:13" x14ac:dyDescent="0.3">
      <c r="A70" t="s">
        <v>689</v>
      </c>
      <c r="B70" s="1" t="str">
        <f>IF(J68 &lt;&gt; "",CONCATENATE("Proj Remaining Velocity: ",J68,B14,IF(FINALRESULTS!B9 &gt;=25,CONCATENATE("= ",FINALRESULTS!B9," ft/sec"),"ARE VERY SLOW")),"")</f>
        <v>Proj Remaining Velocity: Lower Body &amp; Some Nose Pieces &amp; Delta Plug = 593 ft/sec</v>
      </c>
    </row>
    <row r="71" spans="1:13" x14ac:dyDescent="0.3">
      <c r="A71" t="s">
        <v>689</v>
      </c>
      <c r="B71" t="str">
        <f>IF(K68 &lt;&gt; "",CONCATENATE("Proj Remaining Velocity: ",K68,IF(FINALRESULTS!B9 &gt;=25,CONCATENATE("= ",FINALRESULTS!B7," ft/sec"),"ARE VERY SLOW")),"")</f>
        <v/>
      </c>
    </row>
    <row r="72" spans="1:13" x14ac:dyDescent="0.3">
      <c r="A72" t="s">
        <v>689</v>
      </c>
      <c r="B72" t="str">
        <f>IF(M68 &lt;&gt; "",IF(BLPLUSEX!B104 = 2,CONCATENATE(M68,B14,IF(B14 = "","has","have"),IF(B12 &gt;= 25,CONCATENATE(" Remaining Velocity = ",B12," ft/sec")," VERY SLOW Remaining Velocity"),IF(L68 &lt;&gt; "",L68,"")),CONCATENATE(IF(L68 &lt;&gt; "",L68,""),M68)),IF(L68 &lt;&gt; "",L68,""))</f>
        <v>Most of Projectile Nose &amp; Upper Body Pieces ricochet off of plate.If Projectile Body not broken up, All of Projectile ricochets off of plate.</v>
      </c>
    </row>
  </sheetData>
  <sheetProtection algorithmName="SHA-512" hashValue="CqXRA0I2c0e9GrxBv/jBI1i+P2KqzOXkn1mkikL7erlTsXyBpBdYkTvHwuirZDSCCZq4GywXHryyoQws/wepcg==" saltValue="RZh/KQ/iRKbXeqTi3Ubrl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B097-4D39-4B53-A3CB-F91900136FDE}">
  <dimension ref="A1:R76"/>
  <sheetViews>
    <sheetView workbookViewId="0">
      <selection activeCell="E43" sqref="E43"/>
    </sheetView>
  </sheetViews>
  <sheetFormatPr defaultRowHeight="14.4" x14ac:dyDescent="0.3"/>
  <cols>
    <col min="1" max="1" width="5" customWidth="1"/>
    <col min="2" max="3" width="4.6640625" bestFit="1" customWidth="1"/>
    <col min="4" max="5" width="6" bestFit="1" customWidth="1"/>
    <col min="6" max="6" width="4.6640625" bestFit="1" customWidth="1"/>
    <col min="7" max="8" width="4.6640625" customWidth="1"/>
    <col min="9" max="9" width="2.33203125" customWidth="1"/>
    <col min="10" max="10" width="5.88671875" bestFit="1" customWidth="1"/>
    <col min="12" max="12" width="5.88671875" bestFit="1" customWidth="1"/>
  </cols>
  <sheetData>
    <row r="1" spans="1:18" x14ac:dyDescent="0.3">
      <c r="A1" t="s">
        <v>831</v>
      </c>
    </row>
    <row r="7" spans="1:18" x14ac:dyDescent="0.3">
      <c r="A7" t="s">
        <v>554</v>
      </c>
      <c r="J7" t="s">
        <v>768</v>
      </c>
      <c r="K7" t="s">
        <v>770</v>
      </c>
      <c r="L7" t="s">
        <v>771</v>
      </c>
      <c r="M7" t="s">
        <v>772</v>
      </c>
      <c r="N7" t="s">
        <v>773</v>
      </c>
      <c r="P7" t="s">
        <v>774</v>
      </c>
      <c r="Q7" t="s">
        <v>774</v>
      </c>
      <c r="R7" t="s">
        <v>774</v>
      </c>
    </row>
    <row r="8" spans="1:18" x14ac:dyDescent="0.3">
      <c r="A8">
        <v>975</v>
      </c>
      <c r="B8" t="s">
        <v>520</v>
      </c>
      <c r="J8" t="s">
        <v>775</v>
      </c>
      <c r="P8" t="s">
        <v>768</v>
      </c>
    </row>
    <row r="9" spans="1:18" x14ac:dyDescent="0.3">
      <c r="A9">
        <v>978</v>
      </c>
      <c r="B9" t="s">
        <v>521</v>
      </c>
    </row>
    <row r="10" spans="1:18" x14ac:dyDescent="0.3">
      <c r="A10">
        <v>987</v>
      </c>
      <c r="C10" t="s">
        <v>520</v>
      </c>
    </row>
    <row r="11" spans="1:18" x14ac:dyDescent="0.3">
      <c r="A11">
        <v>989</v>
      </c>
      <c r="D11" t="s">
        <v>520</v>
      </c>
    </row>
    <row r="12" spans="1:18" x14ac:dyDescent="0.3">
      <c r="A12">
        <v>990</v>
      </c>
      <c r="E12" t="s">
        <v>520</v>
      </c>
      <c r="M12" t="s">
        <v>776</v>
      </c>
    </row>
    <row r="13" spans="1:18" x14ac:dyDescent="0.3">
      <c r="A13">
        <v>993</v>
      </c>
      <c r="E13" t="s">
        <v>520</v>
      </c>
    </row>
    <row r="14" spans="1:18" x14ac:dyDescent="0.3">
      <c r="A14">
        <v>994</v>
      </c>
      <c r="F14" t="s">
        <v>520</v>
      </c>
      <c r="K14" t="s">
        <v>777</v>
      </c>
      <c r="M14" t="s">
        <v>778</v>
      </c>
    </row>
    <row r="15" spans="1:18" x14ac:dyDescent="0.3">
      <c r="A15">
        <v>997</v>
      </c>
      <c r="F15" t="s">
        <v>521</v>
      </c>
      <c r="M15" t="s">
        <v>779</v>
      </c>
    </row>
    <row r="16" spans="1:18" x14ac:dyDescent="0.3">
      <c r="A16">
        <v>1001</v>
      </c>
      <c r="E16" t="s">
        <v>520</v>
      </c>
    </row>
    <row r="17" spans="1:14" x14ac:dyDescent="0.3">
      <c r="A17">
        <v>1002</v>
      </c>
      <c r="F17" t="s">
        <v>520</v>
      </c>
      <c r="K17" t="s">
        <v>780</v>
      </c>
    </row>
    <row r="18" spans="1:14" x14ac:dyDescent="0.3">
      <c r="A18">
        <v>1004</v>
      </c>
      <c r="F18" t="s">
        <v>521</v>
      </c>
      <c r="K18" t="s">
        <v>781</v>
      </c>
    </row>
    <row r="19" spans="1:14" x14ac:dyDescent="0.3">
      <c r="A19">
        <v>1007</v>
      </c>
      <c r="F19" t="s">
        <v>520</v>
      </c>
      <c r="M19" t="s">
        <v>782</v>
      </c>
      <c r="N19" t="s">
        <v>783</v>
      </c>
    </row>
    <row r="20" spans="1:14" x14ac:dyDescent="0.3">
      <c r="A20">
        <v>1010</v>
      </c>
      <c r="F20" t="s">
        <v>521</v>
      </c>
      <c r="M20" t="s">
        <v>784</v>
      </c>
    </row>
    <row r="21" spans="1:14" x14ac:dyDescent="0.3">
      <c r="A21">
        <v>1014</v>
      </c>
      <c r="E21" t="s">
        <v>520</v>
      </c>
    </row>
    <row r="22" spans="1:14" x14ac:dyDescent="0.3">
      <c r="A22">
        <v>1015</v>
      </c>
      <c r="F22" t="s">
        <v>520</v>
      </c>
    </row>
    <row r="23" spans="1:14" x14ac:dyDescent="0.3">
      <c r="A23">
        <v>1016</v>
      </c>
      <c r="G23" t="s">
        <v>520</v>
      </c>
      <c r="L23" t="s">
        <v>785</v>
      </c>
      <c r="N23" t="s">
        <v>786</v>
      </c>
    </row>
    <row r="24" spans="1:14" x14ac:dyDescent="0.3">
      <c r="A24">
        <v>1017</v>
      </c>
      <c r="H24" t="s">
        <v>520</v>
      </c>
      <c r="K24" t="s">
        <v>780</v>
      </c>
    </row>
    <row r="25" spans="1:14" x14ac:dyDescent="0.3">
      <c r="A25">
        <v>1019</v>
      </c>
      <c r="H25" t="s">
        <v>521</v>
      </c>
      <c r="K25" t="s">
        <v>787</v>
      </c>
    </row>
    <row r="26" spans="1:14" x14ac:dyDescent="0.3">
      <c r="A26">
        <v>1024</v>
      </c>
      <c r="G26" t="s">
        <v>521</v>
      </c>
      <c r="K26" t="s">
        <v>788</v>
      </c>
    </row>
    <row r="27" spans="1:14" x14ac:dyDescent="0.3">
      <c r="A27">
        <v>1027</v>
      </c>
      <c r="F27" t="s">
        <v>522</v>
      </c>
    </row>
    <row r="28" spans="1:14" x14ac:dyDescent="0.3">
      <c r="A28">
        <v>1028</v>
      </c>
      <c r="G28" t="s">
        <v>520</v>
      </c>
      <c r="K28" t="s">
        <v>789</v>
      </c>
      <c r="L28" t="s">
        <v>790</v>
      </c>
    </row>
    <row r="29" spans="1:14" x14ac:dyDescent="0.3">
      <c r="A29">
        <v>1031</v>
      </c>
      <c r="G29" t="s">
        <v>521</v>
      </c>
      <c r="K29" t="s">
        <v>791</v>
      </c>
    </row>
    <row r="30" spans="1:14" x14ac:dyDescent="0.3">
      <c r="A30">
        <v>1034</v>
      </c>
      <c r="F30" t="s">
        <v>521</v>
      </c>
      <c r="K30" t="s">
        <v>788</v>
      </c>
    </row>
    <row r="31" spans="1:14" x14ac:dyDescent="0.3">
      <c r="A31">
        <v>1039</v>
      </c>
      <c r="D31" t="s">
        <v>521</v>
      </c>
    </row>
    <row r="32" spans="1:14" x14ac:dyDescent="0.3">
      <c r="A32">
        <v>1041</v>
      </c>
      <c r="E32" t="s">
        <v>520</v>
      </c>
      <c r="M32" t="s">
        <v>776</v>
      </c>
    </row>
    <row r="33" spans="1:14" x14ac:dyDescent="0.3">
      <c r="A33">
        <v>1044</v>
      </c>
      <c r="E33" t="s">
        <v>520</v>
      </c>
      <c r="M33" t="s">
        <v>792</v>
      </c>
    </row>
    <row r="34" spans="1:14" x14ac:dyDescent="0.3">
      <c r="A34">
        <v>1048</v>
      </c>
      <c r="E34" t="s">
        <v>520</v>
      </c>
      <c r="N34" t="s">
        <v>796</v>
      </c>
    </row>
    <row r="35" spans="1:14" x14ac:dyDescent="0.3">
      <c r="A35">
        <v>1049</v>
      </c>
      <c r="F35" t="s">
        <v>520</v>
      </c>
      <c r="K35" t="s">
        <v>785</v>
      </c>
      <c r="M35" t="s">
        <v>793</v>
      </c>
    </row>
    <row r="36" spans="1:14" x14ac:dyDescent="0.3">
      <c r="A36">
        <v>1052</v>
      </c>
      <c r="F36" t="s">
        <v>521</v>
      </c>
      <c r="K36" t="s">
        <v>794</v>
      </c>
      <c r="M36" t="s">
        <v>795</v>
      </c>
    </row>
    <row r="37" spans="1:14" x14ac:dyDescent="0.3">
      <c r="A37">
        <v>1058</v>
      </c>
      <c r="E37" t="s">
        <v>520</v>
      </c>
    </row>
    <row r="38" spans="1:14" x14ac:dyDescent="0.3">
      <c r="A38">
        <v>1059</v>
      </c>
      <c r="F38" t="s">
        <v>520</v>
      </c>
      <c r="N38" t="s">
        <v>786</v>
      </c>
    </row>
    <row r="39" spans="1:14" x14ac:dyDescent="0.3">
      <c r="A39">
        <v>1060</v>
      </c>
      <c r="G39" t="s">
        <v>520</v>
      </c>
      <c r="K39" t="s">
        <v>785</v>
      </c>
    </row>
    <row r="40" spans="1:14" x14ac:dyDescent="0.3">
      <c r="A40">
        <v>1061</v>
      </c>
      <c r="H40" t="s">
        <v>520</v>
      </c>
      <c r="L40" t="s">
        <v>780</v>
      </c>
    </row>
    <row r="41" spans="1:14" x14ac:dyDescent="0.3">
      <c r="A41">
        <v>1063</v>
      </c>
      <c r="H41" t="s">
        <v>521</v>
      </c>
      <c r="L41" t="s">
        <v>787</v>
      </c>
    </row>
    <row r="42" spans="1:14" x14ac:dyDescent="0.3">
      <c r="A42">
        <v>1067</v>
      </c>
      <c r="G42" t="s">
        <v>521</v>
      </c>
      <c r="K42" t="s">
        <v>788</v>
      </c>
    </row>
    <row r="43" spans="1:14" x14ac:dyDescent="0.3">
      <c r="A43">
        <v>1071</v>
      </c>
      <c r="F43" t="s">
        <v>522</v>
      </c>
    </row>
    <row r="44" spans="1:14" x14ac:dyDescent="0.3">
      <c r="A44">
        <v>1072</v>
      </c>
      <c r="G44" t="s">
        <v>520</v>
      </c>
      <c r="K44" t="s">
        <v>790</v>
      </c>
      <c r="L44" t="s">
        <v>789</v>
      </c>
    </row>
    <row r="45" spans="1:14" x14ac:dyDescent="0.3">
      <c r="A45">
        <v>1075</v>
      </c>
      <c r="G45" t="s">
        <v>521</v>
      </c>
      <c r="K45" t="s">
        <v>797</v>
      </c>
    </row>
    <row r="46" spans="1:14" x14ac:dyDescent="0.3">
      <c r="A46">
        <v>1078</v>
      </c>
      <c r="F46" t="s">
        <v>521</v>
      </c>
      <c r="K46" t="s">
        <v>788</v>
      </c>
    </row>
    <row r="47" spans="1:14" x14ac:dyDescent="0.3">
      <c r="A47">
        <v>1084</v>
      </c>
      <c r="C47" t="s">
        <v>521</v>
      </c>
    </row>
    <row r="48" spans="1:14" x14ac:dyDescent="0.3">
      <c r="A48">
        <v>1087</v>
      </c>
      <c r="D48" t="s">
        <v>520</v>
      </c>
      <c r="K48" t="s">
        <v>798</v>
      </c>
    </row>
    <row r="49" spans="1:18" x14ac:dyDescent="0.3">
      <c r="A49">
        <v>1089</v>
      </c>
      <c r="E49" t="s">
        <v>520</v>
      </c>
    </row>
    <row r="50" spans="1:18" x14ac:dyDescent="0.3">
      <c r="A50">
        <v>1090</v>
      </c>
      <c r="F50" t="s">
        <v>520</v>
      </c>
      <c r="L50" t="s">
        <v>799</v>
      </c>
    </row>
    <row r="51" spans="1:18" x14ac:dyDescent="0.3">
      <c r="A51">
        <v>1092</v>
      </c>
      <c r="F51" t="s">
        <v>521</v>
      </c>
      <c r="L51" t="s">
        <v>797</v>
      </c>
    </row>
    <row r="52" spans="1:18" x14ac:dyDescent="0.3">
      <c r="A52">
        <v>1095</v>
      </c>
      <c r="E52" t="s">
        <v>521</v>
      </c>
    </row>
    <row r="53" spans="1:18" x14ac:dyDescent="0.3">
      <c r="A53">
        <v>1096</v>
      </c>
      <c r="F53" t="s">
        <v>520</v>
      </c>
      <c r="M53" t="s">
        <v>800</v>
      </c>
    </row>
    <row r="54" spans="1:18" x14ac:dyDescent="0.3">
      <c r="A54">
        <v>1100</v>
      </c>
      <c r="D54" t="s">
        <v>521</v>
      </c>
      <c r="K54" t="s">
        <v>801</v>
      </c>
    </row>
    <row r="55" spans="1:18" x14ac:dyDescent="0.3">
      <c r="A55">
        <v>1103</v>
      </c>
      <c r="E55" t="s">
        <v>520</v>
      </c>
    </row>
    <row r="56" spans="1:18" x14ac:dyDescent="0.3">
      <c r="A56">
        <v>1104</v>
      </c>
      <c r="F56" t="s">
        <v>520</v>
      </c>
      <c r="L56" t="s">
        <v>802</v>
      </c>
    </row>
    <row r="57" spans="1:18" x14ac:dyDescent="0.3">
      <c r="A57">
        <v>1106</v>
      </c>
      <c r="F57" t="s">
        <v>521</v>
      </c>
      <c r="K57" t="s">
        <v>797</v>
      </c>
    </row>
    <row r="58" spans="1:18" x14ac:dyDescent="0.3">
      <c r="A58">
        <v>1109</v>
      </c>
      <c r="E58" t="s">
        <v>521</v>
      </c>
      <c r="M58" t="s">
        <v>803</v>
      </c>
    </row>
    <row r="59" spans="1:18" x14ac:dyDescent="0.3">
      <c r="A59">
        <v>1115</v>
      </c>
      <c r="C59" t="s">
        <v>520</v>
      </c>
      <c r="P59" t="s">
        <v>804</v>
      </c>
      <c r="Q59" t="s">
        <v>770</v>
      </c>
      <c r="R59" t="s">
        <v>769</v>
      </c>
    </row>
    <row r="60" spans="1:18" x14ac:dyDescent="0.3">
      <c r="A60">
        <v>1117</v>
      </c>
      <c r="D60" t="s">
        <v>520</v>
      </c>
      <c r="P60" t="s">
        <v>805</v>
      </c>
      <c r="Q60" t="s">
        <v>353</v>
      </c>
      <c r="R60" t="s">
        <v>806</v>
      </c>
    </row>
    <row r="61" spans="1:18" x14ac:dyDescent="0.3">
      <c r="A61">
        <v>1119</v>
      </c>
      <c r="D61" t="s">
        <v>521</v>
      </c>
      <c r="P61" t="s">
        <v>807</v>
      </c>
    </row>
    <row r="62" spans="1:18" x14ac:dyDescent="0.3">
      <c r="A62">
        <v>1123</v>
      </c>
      <c r="C62" t="s">
        <v>520</v>
      </c>
      <c r="P62" t="s">
        <v>804</v>
      </c>
      <c r="Q62" t="s">
        <v>771</v>
      </c>
    </row>
    <row r="63" spans="1:18" x14ac:dyDescent="0.3">
      <c r="A63">
        <v>1125</v>
      </c>
      <c r="D63" t="s">
        <v>520</v>
      </c>
      <c r="P63" t="s">
        <v>805</v>
      </c>
      <c r="Q63" t="s">
        <v>352</v>
      </c>
      <c r="R63" t="s">
        <v>808</v>
      </c>
    </row>
    <row r="64" spans="1:18" x14ac:dyDescent="0.3">
      <c r="A64">
        <v>1127</v>
      </c>
      <c r="D64" t="s">
        <v>521</v>
      </c>
      <c r="P64" t="s">
        <v>807</v>
      </c>
    </row>
    <row r="65" spans="1:18" x14ac:dyDescent="0.3">
      <c r="A65">
        <v>1131</v>
      </c>
      <c r="C65" t="s">
        <v>520</v>
      </c>
    </row>
    <row r="66" spans="1:18" x14ac:dyDescent="0.3">
      <c r="A66">
        <v>1132</v>
      </c>
      <c r="D66" t="s">
        <v>520</v>
      </c>
      <c r="P66" t="s">
        <v>773</v>
      </c>
      <c r="Q66" t="s">
        <v>769</v>
      </c>
    </row>
    <row r="67" spans="1:18" x14ac:dyDescent="0.3">
      <c r="A67">
        <v>1134</v>
      </c>
      <c r="E67" t="s">
        <v>520</v>
      </c>
      <c r="P67" t="s">
        <v>809</v>
      </c>
    </row>
    <row r="68" spans="1:18" x14ac:dyDescent="0.3">
      <c r="A68">
        <v>1134</v>
      </c>
      <c r="E68" t="s">
        <v>521</v>
      </c>
      <c r="P68" t="s">
        <v>810</v>
      </c>
    </row>
    <row r="69" spans="1:18" x14ac:dyDescent="0.3">
      <c r="A69">
        <v>1135</v>
      </c>
      <c r="E69" t="s">
        <v>520</v>
      </c>
      <c r="P69" t="s">
        <v>811</v>
      </c>
      <c r="Q69" t="s">
        <v>371</v>
      </c>
      <c r="R69" t="s">
        <v>808</v>
      </c>
    </row>
    <row r="70" spans="1:18" x14ac:dyDescent="0.3">
      <c r="A70">
        <v>1137</v>
      </c>
      <c r="E70" t="s">
        <v>521</v>
      </c>
      <c r="P70" t="s">
        <v>812</v>
      </c>
    </row>
    <row r="71" spans="1:18" x14ac:dyDescent="0.3">
      <c r="A71">
        <v>1140</v>
      </c>
      <c r="E71" t="s">
        <v>520</v>
      </c>
      <c r="P71" t="s">
        <v>772</v>
      </c>
    </row>
    <row r="72" spans="1:18" x14ac:dyDescent="0.3">
      <c r="A72">
        <v>1141</v>
      </c>
      <c r="D72" t="s">
        <v>521</v>
      </c>
    </row>
    <row r="73" spans="1:18" x14ac:dyDescent="0.3">
      <c r="A73">
        <v>1142</v>
      </c>
      <c r="E73" t="s">
        <v>520</v>
      </c>
      <c r="P73" t="s">
        <v>772</v>
      </c>
    </row>
    <row r="74" spans="1:18" x14ac:dyDescent="0.3">
      <c r="A74" t="s">
        <v>813</v>
      </c>
      <c r="P74" t="s">
        <v>773</v>
      </c>
    </row>
    <row r="75" spans="1:18" x14ac:dyDescent="0.3">
      <c r="A75">
        <v>1145</v>
      </c>
      <c r="C75" t="s">
        <v>521</v>
      </c>
    </row>
    <row r="76" spans="1:18" x14ac:dyDescent="0.3">
      <c r="A76">
        <v>1146</v>
      </c>
      <c r="D76" t="s">
        <v>520</v>
      </c>
      <c r="P76" t="s">
        <v>772</v>
      </c>
    </row>
  </sheetData>
  <sheetProtection algorithmName="SHA-512" hashValue="q6QuyMWqKzJy1G9Qt+Ib0fJdPj2yE2BhArhW8g/nZFY/UGIs+lNrBQ/HKrJ6AujPRoT/yOeB5sr28BIEbL5d4g==" saltValue="1pSrN4WMKlTa15uWkgHZ4A==" spinCount="100000" sheet="1" objects="1" scenarios="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877A-D33B-4E9B-9FAC-963831B615C7}">
  <sheetPr codeName="Sheet26"/>
  <dimension ref="A1:H31"/>
  <sheetViews>
    <sheetView workbookViewId="0">
      <selection activeCell="E43" sqref="E43"/>
    </sheetView>
  </sheetViews>
  <sheetFormatPr defaultRowHeight="14.4" x14ac:dyDescent="0.3"/>
  <cols>
    <col min="1" max="1" width="12.33203125" customWidth="1"/>
  </cols>
  <sheetData>
    <row r="1" spans="1:8" x14ac:dyDescent="0.3">
      <c r="A1" t="s">
        <v>831</v>
      </c>
    </row>
    <row r="3" spans="1:8" x14ac:dyDescent="0.3">
      <c r="A3" t="b">
        <f>IF(OR('Ins&amp;Outs'!F30 = 'Armor Data'!V5,'Ins&amp;Outs'!F30 = 'Armor Data'!V6),TRUE,FALSE)</f>
        <v>0</v>
      </c>
      <c r="E3" t="s">
        <v>372</v>
      </c>
    </row>
    <row r="4" spans="1:8" x14ac:dyDescent="0.3">
      <c r="A4" t="s">
        <v>373</v>
      </c>
      <c r="B4">
        <f>IF('Ins&amp;Outs'!F6&gt;=8,0,-0.023*'Ins&amp;Outs'!F6+0.184)</f>
        <v>0.161</v>
      </c>
    </row>
    <row r="5" spans="1:8" x14ac:dyDescent="0.3">
      <c r="A5" t="s">
        <v>380</v>
      </c>
      <c r="B5">
        <f>(1-(INITVALHDR!B7 + B4))*CALCBL!B62</f>
        <v>5108.9219999999996</v>
      </c>
      <c r="H5" s="3"/>
    </row>
    <row r="6" spans="1:8" x14ac:dyDescent="0.3">
      <c r="A6" t="s">
        <v>374</v>
      </c>
      <c r="B6">
        <f>(1-(INITVALHDR!B7 +B4))*CALCBL!B43</f>
        <v>5108.9219999999996</v>
      </c>
      <c r="H6" s="3"/>
    </row>
    <row r="7" spans="1:8" x14ac:dyDescent="0.3">
      <c r="A7" t="s">
        <v>375</v>
      </c>
      <c r="B7">
        <f>INT((1-(INITVALHDR!B7 +B4))*CALCBL!B54)</f>
        <v>195</v>
      </c>
      <c r="H7" s="3"/>
    </row>
    <row r="8" spans="1:8" x14ac:dyDescent="0.3">
      <c r="A8" t="s">
        <v>376</v>
      </c>
      <c r="B8">
        <f>INT((1-(INITVALHDR!B7 +B4))*CALCBL!B49)</f>
        <v>195</v>
      </c>
      <c r="H8" s="3"/>
    </row>
    <row r="9" spans="1:8" x14ac:dyDescent="0.3">
      <c r="A9" t="s">
        <v>377</v>
      </c>
      <c r="B9">
        <f>INITVALHDR!B7 +B4</f>
        <v>0.18099999999999999</v>
      </c>
      <c r="H9" s="3"/>
    </row>
    <row r="10" spans="1:8" x14ac:dyDescent="0.3">
      <c r="A10" t="s">
        <v>378</v>
      </c>
      <c r="B10">
        <f>IF((INITVALHDR!B7 +B4) &lt; CALCBL!B45,INITVALHDR!B7 +B4,CALCVDF!B4)</f>
        <v>0.18099999999999999</v>
      </c>
      <c r="H10" s="3"/>
    </row>
    <row r="12" spans="1:8" x14ac:dyDescent="0.3">
      <c r="A12" t="b">
        <f>IF(OR('Ins&amp;Outs'!F30 = 'Armor Data'!V5,'Ins&amp;Outs'!F30 = 'Armor Data'!V6),FALSE,TRUE)</f>
        <v>1</v>
      </c>
      <c r="E12" t="s">
        <v>379</v>
      </c>
    </row>
    <row r="13" spans="1:8" x14ac:dyDescent="0.3">
      <c r="A13" t="s">
        <v>380</v>
      </c>
      <c r="B13" cm="1">
        <f t="array" ref="B13">_xlfn.IFS(AND(CALCVDF!B6 = 0,OR('Projectile Data'!AP4 = 0,'Projectile Data'!AS4 = 2)),(1- CALCVDF!B3) * CALCBL!B62,CALCVDF!B6 &gt; 0,IF(AND('Armor Data'!AK4 &gt; 45,'Armor Data'!AK4 &lt; 70,'main calculation sheet'!B66 = 0,'Armor Data'!AN4 = 1),(1-(CALCVDF!B3 + CALCVDF!B6)/2) * CALCBL!B62,(1-CALCVDF!B6) * CALCBL!B62),1=1,(1 - INITVALHDR!B7) * CALCBL!B62)</f>
        <v>5453.9838318000002</v>
      </c>
      <c r="H13" s="3"/>
    </row>
    <row r="14" spans="1:8" x14ac:dyDescent="0.3">
      <c r="A14" t="s">
        <v>374</v>
      </c>
      <c r="B14" cm="1">
        <f t="array" ref="B14">_xlfn.IFS(AND(CALCVDF!B6 = 0,OR('Projectile Data'!AP4 = 0,'Projectile Data'!AS4 = 2)),(1-CALCVDF!B3) * CALCBL!B43,CALCVDF!B6 &gt; 0,IF(AND('Armor Data'!AK4 &gt; 45,'Armor Data'!AK4 &lt; 70,'main calculation sheet'!B66 = 0,'Armor Data'!AN4 = 1),(1-(CALCVDF!B3 + CALCVDF!B6)/2) * CALCBL!B43,(1-CALCVDF!B6) *CALCBL!B62),1=1,(1 - INITVALHDR!B7) * CALCBL!B43)</f>
        <v>5453.9838318000002</v>
      </c>
      <c r="H14" s="3"/>
    </row>
    <row r="15" spans="1:8" x14ac:dyDescent="0.3">
      <c r="A15" t="s">
        <v>377</v>
      </c>
      <c r="B15" cm="1">
        <f t="array" ref="B15">_xlfn.IFS(AND(CALCVDF!B6 &gt; 0,'Armor Data'!AK4 &gt; 45,'Armor Data'!AK4 &lt; 70,'main calculation sheet'!B66 = 0,'Armor Data'!AN4 = 1),(CALCVDF!B3 + CALCVDF!B6)/2,CALCVDF!B6 &gt; 0,CALCVDF!B6,1=1,INITVALHDR!B7)</f>
        <v>0.02</v>
      </c>
      <c r="H15" s="3"/>
    </row>
    <row r="16" spans="1:8" x14ac:dyDescent="0.3">
      <c r="A16" t="s">
        <v>375</v>
      </c>
      <c r="B16" s="1">
        <f>IF(OR(AND(CALCVDF!B6 = 0,OR('Projectile Data'!AP4 = 0,'Projectile Data'!AS4 = 2)),CALCVDF!B6 &gt; 0),CALCBL!B52,INT((1- INITVALHDR!B7) * CALCBL!B54))</f>
        <v>239</v>
      </c>
      <c r="H16" s="3"/>
    </row>
    <row r="17" spans="1:8" x14ac:dyDescent="0.3">
      <c r="A17" t="s">
        <v>376</v>
      </c>
      <c r="B17">
        <f>IF(OR(AND(CALCVDF!B6 = 0,OR('Projectile Data'!AP4 = 0,'Projectile Data'!AS4 = 2)),CALCVDF!B6 &gt; 0),CALCBL!B47,INT((1- INITVALHDR!B7) * CALCBL!B49))</f>
        <v>239</v>
      </c>
      <c r="H17" s="3"/>
    </row>
    <row r="18" spans="1:8" x14ac:dyDescent="0.3">
      <c r="A18" t="s">
        <v>377</v>
      </c>
      <c r="B18">
        <f>IF(OR(AND(CALCVDF!B6 = 0,OR('Projectile Data'!AP4 = 0,'Projectile Data'!AS4 = 2)),CALCVDF!B6 &gt; 0),CALCVDF!B4,INITVALHDR!B7)</f>
        <v>0.12568389999999999</v>
      </c>
      <c r="H18" s="3"/>
    </row>
    <row r="19" spans="1:8" x14ac:dyDescent="0.3">
      <c r="A19" t="s">
        <v>378</v>
      </c>
      <c r="B19">
        <f>IF(OR(AND(CALCVDF!B6 = 0,OR('Projectile Data'!AP4 = 0,'Projectile Data'!AS4 = 2)),CALCVDF!B6 &gt; 0),CALCVDF!B4,IF(INITVALHDR!B7 &lt; CALCBL!B45,INITVALHDR!B7,CALCVDF!B3))</f>
        <v>0.12568389999999999</v>
      </c>
      <c r="H19" s="3"/>
    </row>
    <row r="21" spans="1:8" x14ac:dyDescent="0.3">
      <c r="A21" t="s">
        <v>381</v>
      </c>
    </row>
    <row r="22" spans="1:8" x14ac:dyDescent="0.3">
      <c r="A22" t="s">
        <v>380</v>
      </c>
      <c r="B22" cm="1">
        <f t="array" ref="B22">_xlfn.IFS(A$3=TRUE,INT(B5),A$12=TRUE,INT(B13))</f>
        <v>5453</v>
      </c>
    </row>
    <row r="23" spans="1:8" x14ac:dyDescent="0.3">
      <c r="A23" t="s">
        <v>374</v>
      </c>
      <c r="B23" cm="1">
        <f t="array" ref="B23">_xlfn.IFS(A$3=TRUE,INT(B6),A$12=TRUE,INT(B14))</f>
        <v>5453</v>
      </c>
    </row>
    <row r="24" spans="1:8" x14ac:dyDescent="0.3">
      <c r="A24" t="s">
        <v>375</v>
      </c>
      <c r="B24" cm="1">
        <f t="array" ref="B24">_xlfn.IFS(A$3=TRUE,B7,A$12=TRUE,B16)</f>
        <v>239</v>
      </c>
    </row>
    <row r="25" spans="1:8" x14ac:dyDescent="0.3">
      <c r="A25" t="s">
        <v>376</v>
      </c>
      <c r="B25" cm="1">
        <f t="array" ref="B25">_xlfn.IFS(A$3=TRUE,B8,A$12=TRUE,B17)</f>
        <v>239</v>
      </c>
    </row>
    <row r="26" spans="1:8" x14ac:dyDescent="0.3">
      <c r="A26" t="s">
        <v>377</v>
      </c>
      <c r="B26" cm="1">
        <f t="array" ref="B26">_xlfn.IFS(A$3=TRUE,B9,A$12=TRUE,B18)</f>
        <v>0.12568389999999999</v>
      </c>
    </row>
    <row r="27" spans="1:8" x14ac:dyDescent="0.3">
      <c r="A27" t="s">
        <v>378</v>
      </c>
      <c r="B27" cm="1">
        <f t="array" ref="B27">_xlfn.IFS(A$3=TRUE,B10,A$12=TRUE,B19)</f>
        <v>0.12568389999999999</v>
      </c>
    </row>
    <row r="29" spans="1:8" x14ac:dyDescent="0.3">
      <c r="A29" t="s">
        <v>382</v>
      </c>
      <c r="B29">
        <f>IF('Projectile Data'!AU4 &lt; 0.85,B22 * (CALCBL!B59/CALCBL!B62),B22)</f>
        <v>5453</v>
      </c>
      <c r="H29" s="3"/>
    </row>
    <row r="31" spans="1:8" x14ac:dyDescent="0.3">
      <c r="A31" t="s">
        <v>383</v>
      </c>
      <c r="B31">
        <f>IF(CALCBL!B58 = 1,INT(CALCBL!B59),CALCBL!B62)</f>
        <v>6238</v>
      </c>
      <c r="H31" s="3"/>
    </row>
  </sheetData>
  <sheetProtection algorithmName="SHA-512" hashValue="nlsi9ZPueFHCtRkvlUFqSLgwdM6hp2m/wXeND1/76dMwhHDowf0KGx59q523PR00/9aajGsCkj3FCFZk7YXdcA==" saltValue="lo2CR+6itP87OD1GwfvF1w==" spinCount="100000" sheet="1" objects="1" scenarios="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1C2BD-C0E5-4F8A-AC17-44A213052722}">
  <sheetPr codeName="Sheet27"/>
  <dimension ref="A1:E5"/>
  <sheetViews>
    <sheetView workbookViewId="0">
      <selection activeCell="E43" sqref="E43"/>
    </sheetView>
  </sheetViews>
  <sheetFormatPr defaultRowHeight="14.4" x14ac:dyDescent="0.3"/>
  <cols>
    <col min="1" max="1" width="23" bestFit="1" customWidth="1"/>
  </cols>
  <sheetData>
    <row r="1" spans="1:5" x14ac:dyDescent="0.3">
      <c r="A1" t="s">
        <v>831</v>
      </c>
    </row>
    <row r="3" spans="1:5" x14ac:dyDescent="0.3">
      <c r="A3" t="s">
        <v>384</v>
      </c>
      <c r="B3" cm="1">
        <f t="array" ref="B3">_xlfn.IFS(OR('Ins&amp;Outs'!F30 = 'Armor Data'!V5,'Ins&amp;Outs'!F30 = 'Armor Data'!V6),IF('Ins&amp;Outs'!F6&gt;=8,1,1.25-0.03125*'Ins&amp;Outs'!F6),AND('Armor Data'!AN4=2,ABS('main calculation sheet'!B28) = 1,'main calculation sheet'!B63 = 1,'Ins&amp;Outs'!B30 &lt;= 20),1.2,AND('Armor Data'!AN4 = 1,'main calculation sheet'!B28 &lt;3,'Projectile Data'!AW4 = 0,OR('main calculation sheet'!B63 = 0,'main calculation sheet'!B63 = 2, 'Ins&amp;Outs'!B30 &gt; 20)),1.4,1=1,1.3)</f>
        <v>1.3</v>
      </c>
      <c r="E3" s="3"/>
    </row>
    <row r="4" spans="1:5" x14ac:dyDescent="0.3">
      <c r="A4" t="s">
        <v>385</v>
      </c>
      <c r="B4">
        <f>IF(('Projectile Data'!AU4/B3) &lt; 0.607,'Projectile Data'!AU4/0.607,B3)</f>
        <v>1.3</v>
      </c>
    </row>
    <row r="5" spans="1:5" x14ac:dyDescent="0.3">
      <c r="A5" t="s">
        <v>386</v>
      </c>
      <c r="B5">
        <f>IF(B4&lt;1,1,B4)</f>
        <v>1.3</v>
      </c>
    </row>
  </sheetData>
  <sheetProtection algorithmName="SHA-512" hashValue="ePO5btwvoN2tIrGQ4KZlbTB5F/WWKFFwQrd4l8g8ZYloY2lug03lMjUex4Bw+6pH5fWCMPtguJYsfl93Kkhg9A==" saltValue="rexuYqFXkJNmJTvEXxJ/0g=="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1DCB-369F-4379-A089-B65C1536CEC7}">
  <sheetPr codeName="Sheet28"/>
  <dimension ref="A1:E4"/>
  <sheetViews>
    <sheetView workbookViewId="0">
      <selection activeCell="E43" sqref="E43"/>
    </sheetView>
  </sheetViews>
  <sheetFormatPr defaultRowHeight="14.4" x14ac:dyDescent="0.3"/>
  <sheetData>
    <row r="1" spans="1:5" x14ac:dyDescent="0.3">
      <c r="A1" t="s">
        <v>831</v>
      </c>
    </row>
    <row r="3" spans="1:5" x14ac:dyDescent="0.3">
      <c r="A3" t="s">
        <v>387</v>
      </c>
      <c r="B3" cm="1">
        <f t="array" ref="B3">_xlfn.IFS(OR(DAMAGECALC!B20 = 0,AND(DAMAGECALC!B20 &gt; 0,'Projectile Data'!AS4)),-1,DAMAGECALC!B20 = 1,BLPLUSEX!I94,DAMAGECALC!B20 = 2,BLPLUSEX!K94,DAMAGECALC!B20 = 3,-1,DAMAGECALC!B20 = 4,BLPLUSEX!I94)</f>
        <v>-1</v>
      </c>
      <c r="E3" s="3"/>
    </row>
    <row r="4" spans="1:5" x14ac:dyDescent="0.3">
      <c r="A4" t="s">
        <v>388</v>
      </c>
      <c r="B4" cm="1">
        <f t="array" ref="B4">_xlfn.IFS(OR(DAMAGECALC!B20 = 0,AND(DAMAGECALC!B20 &gt; 0,'Projectile Data'!AS4)),0,DAMAGECALC!B20 = 1,1,DAMAGECALC!B20 = 2,0,DAMAGECALC!B20 = 3,0,DAMAGECALC!B20 = 4,1)</f>
        <v>0</v>
      </c>
      <c r="E4" s="3"/>
    </row>
  </sheetData>
  <sheetProtection algorithmName="SHA-512" hashValue="hvrN9RK+dWq8/bNqRT/z3hFub25pNuOwYlY1Jth1Mv57Nl/wGdtXmidaRh1Wn6t7728dhcpy1TiPjO7qAwI2OA==" saltValue="Y5uwxsrWSWgnnB3NJypfDA=="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B1010-D5E7-47BA-A66C-7C6A969C53F7}">
  <sheetPr codeName="Sheet29"/>
  <dimension ref="A1:B3"/>
  <sheetViews>
    <sheetView workbookViewId="0">
      <selection activeCell="E43" sqref="E43"/>
    </sheetView>
  </sheetViews>
  <sheetFormatPr defaultRowHeight="14.4" x14ac:dyDescent="0.3"/>
  <sheetData>
    <row r="1" spans="1:2" x14ac:dyDescent="0.3">
      <c r="A1" t="s">
        <v>831</v>
      </c>
    </row>
    <row r="3" spans="1:2" x14ac:dyDescent="0.3">
      <c r="A3" t="s">
        <v>389</v>
      </c>
      <c r="B3">
        <f t="array" ref="B3">_xlfn.IFS('Armor Data'!AO4 = 1,0.35,'Armor Data'!AO4 = 2,0.45,1=1,0.55)</f>
        <v>0.55000000000000004</v>
      </c>
    </row>
  </sheetData>
  <sheetProtection algorithmName="SHA-512" hashValue="0dzUKzlbT52CBd7FuWKxt8k3hdtXGvWWKVQVOTUotVuR0IxxR2fiI7rWAnUNkw2vr1elv+cU06W+V4VqZI53JQ==" saltValue="KOL0FjnB1YBZZsa2sHIBb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25389-11EA-40C9-AEAC-B7DB4A273718}">
  <sheetPr codeName="Sheet4"/>
  <dimension ref="A1:AX129"/>
  <sheetViews>
    <sheetView workbookViewId="0">
      <selection activeCell="E43" sqref="E43"/>
    </sheetView>
  </sheetViews>
  <sheetFormatPr defaultRowHeight="14.4" x14ac:dyDescent="0.3"/>
  <cols>
    <col min="3" max="3" width="9.109375" customWidth="1"/>
    <col min="6" max="6" width="10" bestFit="1" customWidth="1"/>
  </cols>
  <sheetData>
    <row r="1" spans="1:50" x14ac:dyDescent="0.3">
      <c r="A1" t="s">
        <v>831</v>
      </c>
    </row>
    <row r="2" spans="1:50" x14ac:dyDescent="0.3">
      <c r="B2" t="s">
        <v>225</v>
      </c>
      <c r="D2" s="1" t="s">
        <v>233</v>
      </c>
      <c r="E2" s="1" t="s">
        <v>241</v>
      </c>
      <c r="AI2">
        <v>2</v>
      </c>
      <c r="AJ2">
        <v>3</v>
      </c>
      <c r="AK2">
        <v>4</v>
      </c>
      <c r="AL2">
        <v>5</v>
      </c>
      <c r="AM2">
        <v>6</v>
      </c>
      <c r="AN2">
        <v>7</v>
      </c>
      <c r="AO2">
        <v>8</v>
      </c>
      <c r="AP2">
        <v>9</v>
      </c>
      <c r="AQ2">
        <v>10</v>
      </c>
      <c r="AR2">
        <v>11</v>
      </c>
      <c r="AS2">
        <v>12</v>
      </c>
      <c r="AT2">
        <v>13</v>
      </c>
      <c r="AU2">
        <v>14</v>
      </c>
      <c r="AV2">
        <v>15</v>
      </c>
      <c r="AW2">
        <v>16</v>
      </c>
      <c r="AX2">
        <v>17</v>
      </c>
    </row>
    <row r="3" spans="1:50" x14ac:dyDescent="0.3">
      <c r="B3" t="s">
        <v>226</v>
      </c>
      <c r="D3" s="1" t="s">
        <v>234</v>
      </c>
      <c r="E3" s="1" t="s">
        <v>242</v>
      </c>
      <c r="V3" t="str">
        <f t="array" ref="V3:V22">_xlfn.IFS('Ins&amp;Outs'!B18="US",B14:B33,'Ins&amp;Outs'!B18="British",B36:B52,'Ins&amp;Outs'!B18="German",B55:B72,'Ins&amp;Outs'!B18="French",B75:B83,'Ins&amp;Outs'!B18="Italian",B86:B97,'Ins&amp;Outs'!B18="Japanese",B100:B109,'Ins&amp;Outs'!B18="Austro-Hungarian",B112:B119,'Ins&amp;Outs'!B18="Russian",B122:B129)</f>
        <v>PALLISER CHILLED CAST IRON SHOT &amp; ALL COMMON SHELLS (1860-1900)</v>
      </c>
      <c r="AI3" t="s">
        <v>14</v>
      </c>
      <c r="AJ3" t="s">
        <v>15</v>
      </c>
      <c r="AK3" t="s">
        <v>16</v>
      </c>
      <c r="AL3" t="s">
        <v>17</v>
      </c>
      <c r="AM3" t="s">
        <v>18</v>
      </c>
      <c r="AN3" t="s">
        <v>19</v>
      </c>
      <c r="AO3" t="s">
        <v>20</v>
      </c>
      <c r="AP3" t="s">
        <v>21</v>
      </c>
      <c r="AQ3" t="s">
        <v>22</v>
      </c>
      <c r="AR3" t="s">
        <v>23</v>
      </c>
      <c r="AS3" t="s">
        <v>24</v>
      </c>
      <c r="AT3" t="s">
        <v>25</v>
      </c>
      <c r="AU3" t="s">
        <v>26</v>
      </c>
      <c r="AV3" t="s">
        <v>27</v>
      </c>
      <c r="AW3" t="s">
        <v>28</v>
      </c>
      <c r="AX3" t="s">
        <v>29</v>
      </c>
    </row>
    <row r="4" spans="1:50" x14ac:dyDescent="0.3">
      <c r="B4" t="s">
        <v>227</v>
      </c>
      <c r="D4" s="1" t="s">
        <v>235</v>
      </c>
      <c r="E4" s="1" t="s">
        <v>243</v>
      </c>
      <c r="V4" t="str">
        <v>UNCAPPED STEEL AP SHOT/SHELL 0-6% BLACK-POWDER/HE FILLER (1890-1905)</v>
      </c>
      <c r="AI4">
        <f>IF(AND(GETPROJDWTWB!B4 = 1,'Ins&amp;Outs'!B21 = 'Projectile Data'!B109,'Ins&amp;Outs'!B12 = 0),0.000143,VLOOKUP('Ins&amp;Outs'!B21,_xlfn.IFS('Ins&amp;Outs'!B18="US",'Projectile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2, FALSE))</f>
        <v>0</v>
      </c>
      <c r="AJ4">
        <f>IF(AND(GETPROJDWTWB!B4 = 1,'Ins&amp;Outs'!B21 = 'Projectile Data'!B109,'Ins&amp;Outs'!B12 = 0),2.249,VLOOKUP('Ins&amp;Outs'!B21,_xlfn.IFS('Ins&amp;Outs'!B18="US",'Projectile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3, FALSE))</f>
        <v>0</v>
      </c>
      <c r="AK4">
        <f>IF(AND(GETPROJDWTWB!B4 = 1,'Ins&amp;Outs'!B21 = 'Projectile Data'!B109,'Ins&amp;Outs'!B12 = 0),0.00267,VLOOKUP('Ins&amp;Outs'!B21,_xlfn.IFS('Ins&amp;Outs'!B18="US",'Projectile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4, FALSE))</f>
        <v>0</v>
      </c>
      <c r="AL4">
        <f>IF(AND(GETPROJDWTWB!B4 = 1,'Ins&amp;Outs'!B21 = 'Projectile Data'!B109,'Ins&amp;Outs'!B12 = 0),0.000247,VLOOKUP('Ins&amp;Outs'!B21,_xlfn.IFS('Ins&amp;Outs'!B18="US",'Projectile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5, FALSE))</f>
        <v>-1</v>
      </c>
      <c r="AM4">
        <f>IF(AND(GETPROJDWTWB!B4 = 1,'Ins&amp;Outs'!B21 = 'Projectile Data'!B109,'Ins&amp;Outs'!B12 = 0),2.129,VLOOKUP('Ins&amp;Outs'!B21,_xlfn.IFS('Ins&amp;Outs'!B18="US",'Projectile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6, FALSE))</f>
        <v>-1</v>
      </c>
      <c r="AN4">
        <f>IF(AND(GETPROJDWTWB!B4 = 1,'Ins&amp;Outs'!B21 = 'Projectile Data'!B109,'Ins&amp;Outs'!B12 = 0),0.00172,VLOOKUP('Ins&amp;Outs'!B21,_xlfn.IFS('Ins&amp;Outs'!B18="US",'Projectile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7, FALSE))</f>
        <v>-1</v>
      </c>
      <c r="AO4">
        <f>_xlfn.IFS(AND(GETPROJDWTWB!B4 = 1,'Ins&amp;Outs'!B21 = 'Projectile Data'!B109,'Ins&amp;Outs'!B12 = 0),0,AND('Ins&amp;Outs'!B21='Projectile Data'!B33,CALCBL!B4=0,CALCBL!B13&gt;32.175),25,1=1,VLOOKUP('Ins&amp;Outs'!B21,_xlfn.IFS('Ins&amp;Outs'!B18="US",'Projectile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8, FALSE))</f>
        <v>15</v>
      </c>
      <c r="AP4">
        <f>IF(AND(GETPROJDWTWB!B4 = 1,'Ins&amp;Outs'!B21 = 'Projectile Data'!B109,'Ins&amp;Outs'!B12 = 0),2,VLOOKUP('Ins&amp;Outs'!B21,_xlfn.IFS('Ins&amp;Outs'!B18="US",'Projectile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9, FALSE))</f>
        <v>0</v>
      </c>
      <c r="AQ4">
        <f>IF(AND(GETPROJDWTWB!B4 = 1,'Ins&amp;Outs'!B21 = 'Projectile Data'!B109,'Ins&amp;Outs'!B12 = 0),1,VLOOKUP('Ins&amp;Outs'!B21,_xlfn.IFS('Ins&amp;Outs'!B18="US",'Projectile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10, FALSE))</f>
        <v>0</v>
      </c>
      <c r="AR4">
        <f>IF(AND(GETPROJDWTWB!B4 = 1,'Ins&amp;Outs'!B21 = 'Projectile Data'!B109,'Ins&amp;Outs'!B12 = 0),0,VLOOKUP('Ins&amp;Outs'!B21,_xlfn.IFS('Ins&amp;Outs'!B18="US",'Projectile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11, FALSE))</f>
        <v>2</v>
      </c>
      <c r="AS4">
        <f>IF(AND(GETPROJDWTWB!B4 = 1,'Ins&amp;Outs'!B21 = 'Projectile Data'!B109,'Ins&amp;Outs'!B12 = 0),0,VLOOKUP('Ins&amp;Outs'!B21,_xlfn.IFS('Ins&amp;Outs'!B18="US",'Projectile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12, FALSE))</f>
        <v>0</v>
      </c>
      <c r="AT4">
        <f>_xlfn.IFS(AND(GETPROJDWTWB!B4 = 1,'Ins&amp;Outs'!B21 = 'Projectile Data'!B109,'Ins&amp;Outs'!B12 = 0),15,AND('Ins&amp;Outs'!B21='Projectile Data'!B33,CALCBL!B4=0,CALCBL!B13&gt;32.175),25,1=1,VLOOKUP('Ins&amp;Outs'!B21,_xlfn.IFS('Ins&amp;Outs'!B18="US",'Projectile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13, FALSE))</f>
        <v>20</v>
      </c>
      <c r="AU4">
        <f>IF(AND(GETPROJDWTWB!B4 = 1,'Ins&amp;Outs'!B21 = 'Projectile Data'!B109,'Ins&amp;Outs'!B12 = 0),0.795,VLOOKUP('Ins&amp;Outs'!B21,_xlfn.IFS('Ins&amp;Outs'!B18="US",'Projectile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14, FALSE))</f>
        <v>1.02</v>
      </c>
      <c r="AV4">
        <f>IF(AND(GETPROJDWTWB!B4 = 1,'Ins&amp;Outs'!B21 = 'Projectile Data'!B109,'Ins&amp;Outs'!B12 = 0),0.7,VLOOKUP('Ins&amp;Outs'!B21,_xlfn.IFS('Ins&amp;Outs'!B18="US",'Projectile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15, FALSE))</f>
        <v>1.02</v>
      </c>
      <c r="AW4">
        <f>IF(AND(GETPROJDWTWB!B4 = 1,'Ins&amp;Outs'!B21 = 'Projectile Data'!B109,'Ins&amp;Outs'!B12 = 0),0,VLOOKUP('Ins&amp;Outs'!B21,_xlfn.IFS('Ins&amp;Outs'!B18="US",'Projectile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16, FALSE))</f>
        <v>0</v>
      </c>
      <c r="AX4">
        <f>IF(AND(GETPROJDWTWB!B4 = 1,'Ins&amp;Outs'!B21 = 'Projectile Data'!B109,'Ins&amp;Outs'!B12 = 0),0,VLOOKUP('Ins&amp;Outs'!B21,_xlfn.IFS('Ins&amp;Outs'!B18="US",'Projectile Data'!B14:R33,'Ins&amp;Outs'!B18="British",'Projectile Data'!B36:R52,'Ins&amp;Outs'!B18="German",'Projectile Data'!B55:R72,'Ins&amp;Outs'!B18="French",'Projectile Data'!B75:R83,'Ins&amp;Outs'!B18="Italian",'Projectile Data'!B86:R97,'Ins&amp;Outs'!B18="Japanese",'Projectile Data'!B100:R109,'Ins&amp;Outs'!B18="Austro-Hungarian",'Projectile Data'!B112:R119,'Ins&amp;Outs'!B18="Russian",'Projectile Data'!B122:R129), 17, FALSE))</f>
        <v>0</v>
      </c>
    </row>
    <row r="5" spans="1:50" x14ac:dyDescent="0.3">
      <c r="B5" t="s">
        <v>228</v>
      </c>
      <c r="D5" s="1" t="s">
        <v>236</v>
      </c>
      <c r="E5" s="1" t="s">
        <v>244</v>
      </c>
      <c r="V5" t="str">
        <v>CP</v>
      </c>
    </row>
    <row r="6" spans="1:50" x14ac:dyDescent="0.3">
      <c r="B6" t="s">
        <v>229</v>
      </c>
      <c r="D6" s="1" t="s">
        <v>237</v>
      </c>
      <c r="E6" s="1" t="s">
        <v>245</v>
      </c>
      <c r="V6" t="str">
        <v>CPC</v>
      </c>
    </row>
    <row r="7" spans="1:50" x14ac:dyDescent="0.3">
      <c r="B7" t="s">
        <v>230</v>
      </c>
      <c r="D7" s="1" t="s">
        <v>238</v>
      </c>
      <c r="E7" s="1" t="s">
        <v>246</v>
      </c>
      <c r="V7" t="str">
        <v>ORIGINAL 6-IN TO 12-IN APC 1905-1912</v>
      </c>
    </row>
    <row r="8" spans="1:50" x14ac:dyDescent="0.3">
      <c r="B8" t="s">
        <v>231</v>
      </c>
      <c r="D8" s="1" t="s">
        <v>239</v>
      </c>
      <c r="E8" s="1" t="s">
        <v>247</v>
      </c>
      <c r="V8" t="str">
        <v>AVE 6-13.5" (LT) CAST-STEEL APC 1913-1918</v>
      </c>
    </row>
    <row r="9" spans="1:50" x14ac:dyDescent="0.3">
      <c r="B9" t="s">
        <v>232</v>
      </c>
      <c r="D9" s="1" t="s">
        <v>240</v>
      </c>
      <c r="E9" s="1" t="s">
        <v>248</v>
      </c>
      <c r="V9" t="str">
        <v>13.5" (HY), 14", &amp; 15" FORGED-STEEL APC 1913-1918</v>
      </c>
    </row>
    <row r="10" spans="1:50" x14ac:dyDescent="0.3">
      <c r="V10" t="str">
        <v>12" MK 7A APC</v>
      </c>
    </row>
    <row r="11" spans="1:50" x14ac:dyDescent="0.3">
      <c r="V11" t="str">
        <v>13.5" (HVY), 14", &amp; 15" MK 5A APC</v>
      </c>
    </row>
    <row r="12" spans="1:50" x14ac:dyDescent="0.3">
      <c r="C12" t="s">
        <v>14</v>
      </c>
      <c r="D12" t="s">
        <v>15</v>
      </c>
      <c r="E12" t="s">
        <v>16</v>
      </c>
      <c r="F12" t="s">
        <v>17</v>
      </c>
      <c r="G12" t="s">
        <v>18</v>
      </c>
      <c r="H12" t="s">
        <v>19</v>
      </c>
      <c r="I12" t="s">
        <v>20</v>
      </c>
      <c r="J12" t="s">
        <v>21</v>
      </c>
      <c r="K12" t="s">
        <v>22</v>
      </c>
      <c r="L12" t="s">
        <v>23</v>
      </c>
      <c r="M12" t="s">
        <v>24</v>
      </c>
      <c r="N12" t="s">
        <v>25</v>
      </c>
      <c r="O12" t="s">
        <v>26</v>
      </c>
      <c r="P12" t="s">
        <v>27</v>
      </c>
      <c r="Q12" t="s">
        <v>28</v>
      </c>
      <c r="R12" t="s">
        <v>29</v>
      </c>
      <c r="V12" t="str">
        <v>15" MK 5A BLUE-BAND APC</v>
      </c>
    </row>
    <row r="13" spans="1:50" x14ac:dyDescent="0.3">
      <c r="A13" t="s">
        <v>54</v>
      </c>
      <c r="V13" t="str">
        <v>POST-WWI CPBC/SAP WITH HOOD</v>
      </c>
    </row>
    <row r="14" spans="1:50" x14ac:dyDescent="0.3">
      <c r="A14" t="s">
        <v>33</v>
      </c>
      <c r="B14" t="s">
        <v>13</v>
      </c>
      <c r="C14">
        <v>1.4300000000000001E-4</v>
      </c>
      <c r="D14">
        <v>2.2490000000000001</v>
      </c>
      <c r="E14">
        <v>2.6700000000000001E-3</v>
      </c>
      <c r="F14">
        <v>-1</v>
      </c>
      <c r="G14">
        <v>-1</v>
      </c>
      <c r="H14">
        <v>-1</v>
      </c>
      <c r="I14">
        <v>0</v>
      </c>
      <c r="J14">
        <v>1</v>
      </c>
      <c r="K14">
        <v>2</v>
      </c>
      <c r="L14">
        <v>0</v>
      </c>
      <c r="M14">
        <v>1</v>
      </c>
      <c r="N14">
        <v>5</v>
      </c>
      <c r="O14">
        <v>0.6</v>
      </c>
      <c r="P14">
        <v>0.5</v>
      </c>
      <c r="Q14">
        <v>0</v>
      </c>
      <c r="R14">
        <v>0</v>
      </c>
      <c r="V14" t="str">
        <v>8" SAPC</v>
      </c>
    </row>
    <row r="15" spans="1:50" x14ac:dyDescent="0.3">
      <c r="A15" t="s">
        <v>34</v>
      </c>
      <c r="B15" t="s">
        <v>30</v>
      </c>
      <c r="C15">
        <v>1.4300000000000001E-4</v>
      </c>
      <c r="D15">
        <v>2.2490000000000001</v>
      </c>
      <c r="E15">
        <v>2.6700000000000001E-3</v>
      </c>
      <c r="F15">
        <v>2.4699999999999999E-4</v>
      </c>
      <c r="G15">
        <v>2.129</v>
      </c>
      <c r="H15">
        <v>1.72E-3</v>
      </c>
      <c r="I15">
        <v>0</v>
      </c>
      <c r="J15">
        <v>1</v>
      </c>
      <c r="K15">
        <v>2</v>
      </c>
      <c r="L15">
        <v>1</v>
      </c>
      <c r="M15">
        <v>1</v>
      </c>
      <c r="N15">
        <v>5</v>
      </c>
      <c r="O15">
        <v>0.6</v>
      </c>
      <c r="P15">
        <v>0.5</v>
      </c>
      <c r="Q15">
        <v>0</v>
      </c>
      <c r="R15">
        <v>0</v>
      </c>
      <c r="V15" t="str">
        <v>9.2" GREEN BOY COAST DEFENSE 1919-1935</v>
      </c>
    </row>
    <row r="16" spans="1:50" x14ac:dyDescent="0.3">
      <c r="A16" t="s">
        <v>35</v>
      </c>
      <c r="B16" t="s">
        <v>31</v>
      </c>
      <c r="C16">
        <v>4.3009999999999999E-4</v>
      </c>
      <c r="D16">
        <v>1.845</v>
      </c>
      <c r="E16">
        <v>2.7000000000000001E-3</v>
      </c>
      <c r="F16">
        <v>3.322E-2</v>
      </c>
      <c r="G16">
        <v>1.1719999999999999</v>
      </c>
      <c r="H16">
        <v>2.222E-2</v>
      </c>
      <c r="I16">
        <v>0</v>
      </c>
      <c r="J16">
        <v>2</v>
      </c>
      <c r="K16">
        <v>1</v>
      </c>
      <c r="L16">
        <v>0</v>
      </c>
      <c r="M16">
        <v>1</v>
      </c>
      <c r="N16">
        <v>15</v>
      </c>
      <c r="O16">
        <v>0.7</v>
      </c>
      <c r="P16">
        <v>0.61599999999999999</v>
      </c>
      <c r="Q16">
        <v>0</v>
      </c>
      <c r="R16">
        <v>0</v>
      </c>
      <c r="V16" t="str">
        <v>9.2" COAST DEFENSE 1935-1950 (STILL 3.4% FILLER)</v>
      </c>
    </row>
    <row r="17" spans="1:22" x14ac:dyDescent="0.3">
      <c r="A17" t="s">
        <v>36</v>
      </c>
      <c r="B17" t="s">
        <v>32</v>
      </c>
      <c r="C17">
        <v>4.3009999999999999E-4</v>
      </c>
      <c r="D17">
        <v>1.845</v>
      </c>
      <c r="E17">
        <v>2.7000000000000001E-3</v>
      </c>
      <c r="F17">
        <v>3.322E-2</v>
      </c>
      <c r="G17">
        <v>1.1719999999999999</v>
      </c>
      <c r="H17">
        <v>2.222E-2</v>
      </c>
      <c r="I17">
        <v>0</v>
      </c>
      <c r="J17">
        <v>2</v>
      </c>
      <c r="K17">
        <v>1</v>
      </c>
      <c r="L17">
        <v>1</v>
      </c>
      <c r="M17">
        <v>1</v>
      </c>
      <c r="N17">
        <v>15</v>
      </c>
      <c r="O17">
        <v>0.7</v>
      </c>
      <c r="P17">
        <v>0.61599999999999999</v>
      </c>
      <c r="Q17">
        <v>0</v>
      </c>
      <c r="R17">
        <v>0</v>
      </c>
      <c r="V17" t="str">
        <v>16" MK 1B APC</v>
      </c>
    </row>
    <row r="18" spans="1:22" x14ac:dyDescent="0.3">
      <c r="A18">
        <v>5</v>
      </c>
      <c r="B18" t="s">
        <v>37</v>
      </c>
      <c r="C18">
        <v>0</v>
      </c>
      <c r="D18">
        <v>0</v>
      </c>
      <c r="E18">
        <v>0</v>
      </c>
      <c r="F18">
        <v>-1</v>
      </c>
      <c r="G18">
        <v>-1</v>
      </c>
      <c r="H18">
        <v>-1</v>
      </c>
      <c r="I18">
        <v>5</v>
      </c>
      <c r="J18">
        <v>1</v>
      </c>
      <c r="K18">
        <v>0</v>
      </c>
      <c r="L18">
        <v>0</v>
      </c>
      <c r="M18">
        <v>0</v>
      </c>
      <c r="N18">
        <v>15</v>
      </c>
      <c r="O18">
        <v>0.7</v>
      </c>
      <c r="P18">
        <v>-1</v>
      </c>
      <c r="Q18">
        <v>2</v>
      </c>
      <c r="R18">
        <v>0</v>
      </c>
      <c r="V18" t="str">
        <v>14-16" POST-1930</v>
      </c>
    </row>
    <row r="19" spans="1:22" x14ac:dyDescent="0.3">
      <c r="A19">
        <v>6</v>
      </c>
      <c r="B19" t="s">
        <v>38</v>
      </c>
      <c r="C19">
        <v>0</v>
      </c>
      <c r="D19">
        <v>0</v>
      </c>
      <c r="E19">
        <v>0</v>
      </c>
      <c r="F19">
        <v>-1</v>
      </c>
      <c r="G19">
        <v>-1</v>
      </c>
      <c r="H19">
        <v>-1</v>
      </c>
      <c r="I19">
        <v>5</v>
      </c>
      <c r="J19">
        <v>1</v>
      </c>
      <c r="K19">
        <v>0</v>
      </c>
      <c r="L19">
        <v>1</v>
      </c>
      <c r="M19">
        <v>0</v>
      </c>
      <c r="N19">
        <v>15</v>
      </c>
      <c r="O19">
        <v>0.7</v>
      </c>
      <c r="P19">
        <v>-1</v>
      </c>
      <c r="Q19">
        <v>2</v>
      </c>
      <c r="R19">
        <v>0</v>
      </c>
      <c r="V19" t="str">
        <v>15" CARDONALD</v>
      </c>
    </row>
    <row r="20" spans="1:22" x14ac:dyDescent="0.3">
      <c r="A20">
        <v>7</v>
      </c>
      <c r="B20" t="s">
        <v>39</v>
      </c>
      <c r="C20">
        <v>4.3009999999999999E-4</v>
      </c>
      <c r="D20">
        <v>1.845</v>
      </c>
      <c r="E20">
        <v>2.7000000000000001E-3</v>
      </c>
      <c r="F20">
        <v>3.322E-2</v>
      </c>
      <c r="G20">
        <v>1.1719999999999999</v>
      </c>
      <c r="H20">
        <v>2.222E-2</v>
      </c>
      <c r="I20">
        <v>0</v>
      </c>
      <c r="J20">
        <v>2</v>
      </c>
      <c r="K20">
        <v>1</v>
      </c>
      <c r="L20">
        <v>0</v>
      </c>
      <c r="M20">
        <v>2</v>
      </c>
      <c r="N20">
        <v>15</v>
      </c>
      <c r="O20">
        <v>0.65</v>
      </c>
      <c r="P20">
        <v>0.6</v>
      </c>
      <c r="Q20">
        <v>0</v>
      </c>
      <c r="R20">
        <v>0</v>
      </c>
      <c r="V20" t="e">
        <v>#N/A</v>
      </c>
    </row>
    <row r="21" spans="1:22" x14ac:dyDescent="0.3">
      <c r="A21">
        <v>8</v>
      </c>
      <c r="B21" t="s">
        <v>40</v>
      </c>
      <c r="C21">
        <v>0</v>
      </c>
      <c r="D21">
        <v>0</v>
      </c>
      <c r="E21">
        <v>0</v>
      </c>
      <c r="F21">
        <v>-1</v>
      </c>
      <c r="G21">
        <v>-1</v>
      </c>
      <c r="H21">
        <v>-1</v>
      </c>
      <c r="I21">
        <v>5</v>
      </c>
      <c r="J21">
        <v>1</v>
      </c>
      <c r="K21">
        <v>0</v>
      </c>
      <c r="L21">
        <v>1</v>
      </c>
      <c r="M21">
        <v>0</v>
      </c>
      <c r="N21">
        <v>15</v>
      </c>
      <c r="O21">
        <v>0.89</v>
      </c>
      <c r="P21">
        <v>-1</v>
      </c>
      <c r="Q21">
        <v>0</v>
      </c>
      <c r="R21">
        <v>2</v>
      </c>
      <c r="V21" t="e">
        <v>#N/A</v>
      </c>
    </row>
    <row r="22" spans="1:22" x14ac:dyDescent="0.3">
      <c r="A22">
        <v>9</v>
      </c>
      <c r="B22" t="s">
        <v>41</v>
      </c>
      <c r="C22">
        <v>0</v>
      </c>
      <c r="D22">
        <v>0</v>
      </c>
      <c r="E22">
        <v>0</v>
      </c>
      <c r="F22">
        <v>-1</v>
      </c>
      <c r="G22">
        <v>-1</v>
      </c>
      <c r="H22">
        <v>-1</v>
      </c>
      <c r="I22">
        <v>5</v>
      </c>
      <c r="J22">
        <v>0</v>
      </c>
      <c r="K22">
        <v>0</v>
      </c>
      <c r="L22">
        <v>1</v>
      </c>
      <c r="M22">
        <v>0</v>
      </c>
      <c r="N22">
        <v>15</v>
      </c>
      <c r="O22">
        <v>1</v>
      </c>
      <c r="P22">
        <v>-1</v>
      </c>
      <c r="Q22">
        <v>0</v>
      </c>
      <c r="R22">
        <v>2</v>
      </c>
      <c r="V22" t="e">
        <v>#N/A</v>
      </c>
    </row>
    <row r="23" spans="1:22" x14ac:dyDescent="0.3">
      <c r="A23">
        <v>10</v>
      </c>
      <c r="B23" t="s">
        <v>42</v>
      </c>
      <c r="C23">
        <v>0</v>
      </c>
      <c r="D23">
        <v>0</v>
      </c>
      <c r="E23">
        <v>0</v>
      </c>
      <c r="F23">
        <v>-1</v>
      </c>
      <c r="G23">
        <v>-1</v>
      </c>
      <c r="H23">
        <v>-1</v>
      </c>
      <c r="I23">
        <v>10</v>
      </c>
      <c r="J23">
        <v>0</v>
      </c>
      <c r="K23">
        <v>0</v>
      </c>
      <c r="L23">
        <v>2</v>
      </c>
      <c r="M23">
        <v>0</v>
      </c>
      <c r="N23">
        <v>15</v>
      </c>
      <c r="O23">
        <v>0.94</v>
      </c>
      <c r="P23">
        <v>-1</v>
      </c>
      <c r="Q23">
        <v>0</v>
      </c>
      <c r="R23">
        <v>0</v>
      </c>
    </row>
    <row r="24" spans="1:22" x14ac:dyDescent="0.3">
      <c r="A24">
        <v>11</v>
      </c>
      <c r="B24" t="s">
        <v>43</v>
      </c>
      <c r="C24">
        <v>0</v>
      </c>
      <c r="D24">
        <v>0</v>
      </c>
      <c r="E24">
        <v>0</v>
      </c>
      <c r="F24">
        <v>-1</v>
      </c>
      <c r="G24">
        <v>-1</v>
      </c>
      <c r="H24">
        <v>-1</v>
      </c>
      <c r="I24">
        <v>20</v>
      </c>
      <c r="J24">
        <v>0</v>
      </c>
      <c r="K24">
        <v>0</v>
      </c>
      <c r="L24">
        <v>2</v>
      </c>
      <c r="M24">
        <v>0</v>
      </c>
      <c r="N24">
        <v>20</v>
      </c>
      <c r="O24">
        <v>0.94</v>
      </c>
      <c r="P24">
        <v>-1</v>
      </c>
      <c r="Q24">
        <v>0</v>
      </c>
      <c r="R24">
        <v>2</v>
      </c>
    </row>
    <row r="25" spans="1:22" x14ac:dyDescent="0.3">
      <c r="A25">
        <v>12</v>
      </c>
      <c r="B25" t="s">
        <v>44</v>
      </c>
      <c r="C25">
        <v>0</v>
      </c>
      <c r="D25">
        <v>0</v>
      </c>
      <c r="E25">
        <v>0</v>
      </c>
      <c r="F25">
        <v>-1</v>
      </c>
      <c r="G25">
        <v>-1</v>
      </c>
      <c r="H25">
        <v>-1</v>
      </c>
      <c r="I25">
        <v>10</v>
      </c>
      <c r="J25">
        <v>0</v>
      </c>
      <c r="K25">
        <v>1</v>
      </c>
      <c r="L25">
        <v>0</v>
      </c>
      <c r="M25">
        <v>1</v>
      </c>
      <c r="N25">
        <v>15</v>
      </c>
      <c r="O25">
        <v>0.85</v>
      </c>
      <c r="P25">
        <v>-1</v>
      </c>
      <c r="Q25">
        <v>0</v>
      </c>
      <c r="R25">
        <v>2</v>
      </c>
    </row>
    <row r="26" spans="1:22" x14ac:dyDescent="0.3">
      <c r="A26">
        <v>13</v>
      </c>
      <c r="B26" t="s">
        <v>45</v>
      </c>
      <c r="C26">
        <v>0</v>
      </c>
      <c r="D26">
        <v>0</v>
      </c>
      <c r="E26">
        <v>0</v>
      </c>
      <c r="F26">
        <v>-1</v>
      </c>
      <c r="G26">
        <v>-1</v>
      </c>
      <c r="H26">
        <v>-1</v>
      </c>
      <c r="I26">
        <v>15</v>
      </c>
      <c r="J26">
        <v>0</v>
      </c>
      <c r="K26">
        <v>1</v>
      </c>
      <c r="L26">
        <v>-1</v>
      </c>
      <c r="M26">
        <v>0</v>
      </c>
      <c r="N26">
        <v>15</v>
      </c>
      <c r="O26">
        <v>0.9</v>
      </c>
      <c r="P26">
        <v>-1</v>
      </c>
      <c r="Q26">
        <v>0</v>
      </c>
      <c r="R26">
        <v>2</v>
      </c>
    </row>
    <row r="27" spans="1:22" x14ac:dyDescent="0.3">
      <c r="A27">
        <v>14</v>
      </c>
      <c r="B27" t="s">
        <v>46</v>
      </c>
      <c r="C27">
        <v>0</v>
      </c>
      <c r="D27">
        <v>0</v>
      </c>
      <c r="E27">
        <v>0</v>
      </c>
      <c r="F27">
        <v>-1</v>
      </c>
      <c r="G27">
        <v>-1</v>
      </c>
      <c r="H27">
        <v>-1</v>
      </c>
      <c r="I27">
        <v>20</v>
      </c>
      <c r="J27">
        <v>0</v>
      </c>
      <c r="K27">
        <v>0</v>
      </c>
      <c r="L27">
        <v>-1</v>
      </c>
      <c r="M27">
        <v>0</v>
      </c>
      <c r="N27">
        <v>20</v>
      </c>
      <c r="O27">
        <v>0.95</v>
      </c>
      <c r="P27">
        <v>-1</v>
      </c>
      <c r="Q27">
        <v>0</v>
      </c>
      <c r="R27">
        <v>0</v>
      </c>
    </row>
    <row r="28" spans="1:22" x14ac:dyDescent="0.3">
      <c r="A28">
        <v>15</v>
      </c>
      <c r="B28" t="s">
        <v>47</v>
      </c>
      <c r="C28">
        <v>0</v>
      </c>
      <c r="D28">
        <v>0</v>
      </c>
      <c r="E28">
        <v>0</v>
      </c>
      <c r="F28">
        <v>-1</v>
      </c>
      <c r="G28">
        <v>-1</v>
      </c>
      <c r="H28">
        <v>-1</v>
      </c>
      <c r="I28">
        <v>15</v>
      </c>
      <c r="J28">
        <v>0</v>
      </c>
      <c r="K28">
        <v>1</v>
      </c>
      <c r="L28">
        <v>2</v>
      </c>
      <c r="M28">
        <v>0</v>
      </c>
      <c r="N28">
        <v>15</v>
      </c>
      <c r="O28">
        <v>0.9</v>
      </c>
      <c r="P28">
        <v>-1</v>
      </c>
      <c r="Q28">
        <v>0</v>
      </c>
      <c r="R28">
        <v>0</v>
      </c>
    </row>
    <row r="29" spans="1:22" x14ac:dyDescent="0.3">
      <c r="A29">
        <v>16</v>
      </c>
      <c r="B29" t="s">
        <v>48</v>
      </c>
      <c r="C29">
        <v>0</v>
      </c>
      <c r="D29">
        <v>0</v>
      </c>
      <c r="E29">
        <v>0</v>
      </c>
      <c r="F29">
        <v>-1</v>
      </c>
      <c r="G29">
        <v>-1</v>
      </c>
      <c r="H29">
        <v>-1</v>
      </c>
      <c r="I29">
        <v>15</v>
      </c>
      <c r="J29">
        <v>0</v>
      </c>
      <c r="K29">
        <v>0</v>
      </c>
      <c r="L29">
        <v>2</v>
      </c>
      <c r="M29">
        <v>0</v>
      </c>
      <c r="N29">
        <v>15</v>
      </c>
      <c r="O29">
        <v>0.94</v>
      </c>
      <c r="P29">
        <v>-1</v>
      </c>
      <c r="Q29">
        <v>0</v>
      </c>
      <c r="R29">
        <v>0</v>
      </c>
    </row>
    <row r="30" spans="1:22" x14ac:dyDescent="0.3">
      <c r="A30">
        <v>17</v>
      </c>
      <c r="B30" t="s">
        <v>49</v>
      </c>
      <c r="C30">
        <v>0</v>
      </c>
      <c r="D30">
        <v>0</v>
      </c>
      <c r="E30">
        <v>0</v>
      </c>
      <c r="F30">
        <v>-1</v>
      </c>
      <c r="G30">
        <v>-1</v>
      </c>
      <c r="H30">
        <v>-1</v>
      </c>
      <c r="I30">
        <v>20</v>
      </c>
      <c r="J30">
        <v>0</v>
      </c>
      <c r="K30">
        <v>0</v>
      </c>
      <c r="L30">
        <v>2</v>
      </c>
      <c r="M30">
        <v>0</v>
      </c>
      <c r="N30">
        <v>15</v>
      </c>
      <c r="O30">
        <v>0.96</v>
      </c>
      <c r="P30">
        <v>-1</v>
      </c>
      <c r="Q30">
        <v>0</v>
      </c>
      <c r="R30">
        <v>0</v>
      </c>
    </row>
    <row r="31" spans="1:22" x14ac:dyDescent="0.3">
      <c r="A31">
        <v>18</v>
      </c>
      <c r="B31" t="s">
        <v>50</v>
      </c>
      <c r="C31">
        <v>0</v>
      </c>
      <c r="D31">
        <v>0</v>
      </c>
      <c r="E31">
        <v>0</v>
      </c>
      <c r="F31">
        <v>-1</v>
      </c>
      <c r="G31">
        <v>-1</v>
      </c>
      <c r="H31">
        <v>-1</v>
      </c>
      <c r="I31">
        <v>20</v>
      </c>
      <c r="J31">
        <v>0</v>
      </c>
      <c r="K31">
        <v>0</v>
      </c>
      <c r="L31">
        <v>2</v>
      </c>
      <c r="M31">
        <v>0</v>
      </c>
      <c r="N31">
        <v>20</v>
      </c>
      <c r="O31">
        <v>0.9</v>
      </c>
      <c r="P31">
        <v>-1</v>
      </c>
      <c r="Q31">
        <v>0</v>
      </c>
      <c r="R31">
        <v>0</v>
      </c>
    </row>
    <row r="32" spans="1:22" x14ac:dyDescent="0.3">
      <c r="A32">
        <v>19</v>
      </c>
      <c r="B32" t="s">
        <v>51</v>
      </c>
      <c r="C32">
        <v>0</v>
      </c>
      <c r="D32">
        <v>0</v>
      </c>
      <c r="E32">
        <v>0</v>
      </c>
      <c r="F32">
        <v>-1</v>
      </c>
      <c r="G32">
        <v>-1</v>
      </c>
      <c r="H32">
        <v>-1</v>
      </c>
      <c r="I32">
        <v>25</v>
      </c>
      <c r="J32">
        <v>0</v>
      </c>
      <c r="K32">
        <v>0</v>
      </c>
      <c r="L32">
        <v>2</v>
      </c>
      <c r="M32">
        <v>0</v>
      </c>
      <c r="N32">
        <v>25</v>
      </c>
      <c r="O32">
        <v>0.94</v>
      </c>
      <c r="P32">
        <v>-1</v>
      </c>
      <c r="Q32">
        <v>0</v>
      </c>
      <c r="R32">
        <v>0</v>
      </c>
    </row>
    <row r="33" spans="1:18" x14ac:dyDescent="0.3">
      <c r="A33">
        <v>20</v>
      </c>
      <c r="B33" t="s">
        <v>52</v>
      </c>
      <c r="C33">
        <v>0</v>
      </c>
      <c r="D33">
        <v>0</v>
      </c>
      <c r="E33">
        <v>0</v>
      </c>
      <c r="F33">
        <v>-1</v>
      </c>
      <c r="G33">
        <v>-1</v>
      </c>
      <c r="H33">
        <v>-1</v>
      </c>
      <c r="I33">
        <v>30</v>
      </c>
      <c r="J33">
        <v>0</v>
      </c>
      <c r="K33">
        <v>0</v>
      </c>
      <c r="L33">
        <v>2</v>
      </c>
      <c r="M33">
        <v>0</v>
      </c>
      <c r="N33">
        <v>30</v>
      </c>
      <c r="O33">
        <v>1</v>
      </c>
      <c r="P33">
        <v>-1</v>
      </c>
      <c r="Q33">
        <v>0</v>
      </c>
      <c r="R33">
        <v>0</v>
      </c>
    </row>
    <row r="35" spans="1:18" x14ac:dyDescent="0.3">
      <c r="A35" t="s">
        <v>53</v>
      </c>
    </row>
    <row r="36" spans="1:18" x14ac:dyDescent="0.3">
      <c r="A36" t="s">
        <v>33</v>
      </c>
      <c r="B36" t="s">
        <v>58</v>
      </c>
      <c r="C36">
        <v>1.4300000000000001E-4</v>
      </c>
      <c r="D36">
        <v>2.2490000000000001</v>
      </c>
      <c r="E36">
        <v>2.6700000000000001E-3</v>
      </c>
      <c r="F36">
        <v>-1</v>
      </c>
      <c r="G36">
        <v>-1</v>
      </c>
      <c r="H36">
        <v>-1</v>
      </c>
      <c r="I36">
        <v>0</v>
      </c>
      <c r="J36">
        <v>1</v>
      </c>
      <c r="K36">
        <v>2</v>
      </c>
      <c r="L36">
        <v>0</v>
      </c>
      <c r="M36">
        <v>1</v>
      </c>
      <c r="N36">
        <v>5</v>
      </c>
      <c r="O36">
        <v>0.6</v>
      </c>
      <c r="P36">
        <v>0.5</v>
      </c>
      <c r="Q36">
        <v>0</v>
      </c>
      <c r="R36">
        <v>0</v>
      </c>
    </row>
    <row r="37" spans="1:18" x14ac:dyDescent="0.3">
      <c r="A37" t="s">
        <v>35</v>
      </c>
      <c r="B37" t="s">
        <v>59</v>
      </c>
      <c r="C37">
        <v>1.4300000000000001E-4</v>
      </c>
      <c r="D37">
        <v>2.2490000000000001</v>
      </c>
      <c r="E37">
        <v>2.6700000000000001E-3</v>
      </c>
      <c r="F37">
        <v>2.4699999999999999E-4</v>
      </c>
      <c r="G37">
        <v>2.129</v>
      </c>
      <c r="H37">
        <v>1.72E-3</v>
      </c>
      <c r="I37">
        <v>0</v>
      </c>
      <c r="J37">
        <v>1</v>
      </c>
      <c r="K37">
        <v>2</v>
      </c>
      <c r="L37">
        <v>1</v>
      </c>
      <c r="M37">
        <v>1</v>
      </c>
      <c r="N37">
        <v>5</v>
      </c>
      <c r="O37">
        <v>0.6</v>
      </c>
      <c r="P37">
        <v>0.5</v>
      </c>
      <c r="Q37">
        <v>0</v>
      </c>
      <c r="R37">
        <v>0</v>
      </c>
    </row>
    <row r="38" spans="1:18" x14ac:dyDescent="0.3">
      <c r="A38">
        <v>3</v>
      </c>
      <c r="B38" t="s">
        <v>55</v>
      </c>
      <c r="C38">
        <v>4.3009999999999999E-4</v>
      </c>
      <c r="D38">
        <v>1.845</v>
      </c>
      <c r="E38">
        <v>2.7000000000000001E-3</v>
      </c>
      <c r="F38">
        <v>3.322E-2</v>
      </c>
      <c r="G38">
        <v>1.1719999999999999</v>
      </c>
      <c r="H38">
        <v>2.222E-2</v>
      </c>
      <c r="I38">
        <v>0</v>
      </c>
      <c r="J38">
        <v>2</v>
      </c>
      <c r="K38">
        <v>1</v>
      </c>
      <c r="L38">
        <v>0</v>
      </c>
      <c r="M38">
        <v>2</v>
      </c>
      <c r="N38">
        <v>15</v>
      </c>
      <c r="O38">
        <v>0.72799999999999998</v>
      </c>
      <c r="P38">
        <v>0.5</v>
      </c>
      <c r="Q38">
        <v>0</v>
      </c>
      <c r="R38">
        <v>0</v>
      </c>
    </row>
    <row r="39" spans="1:18" x14ac:dyDescent="0.3">
      <c r="A39">
        <v>4</v>
      </c>
      <c r="B39" t="s">
        <v>56</v>
      </c>
      <c r="C39">
        <v>4.3009999999999999E-4</v>
      </c>
      <c r="D39">
        <v>1.845</v>
      </c>
      <c r="E39">
        <v>2.7000000000000001E-3</v>
      </c>
      <c r="F39">
        <v>3.322E-2</v>
      </c>
      <c r="G39">
        <v>1.1719999999999999</v>
      </c>
      <c r="H39">
        <v>2.222E-2</v>
      </c>
      <c r="I39">
        <v>0</v>
      </c>
      <c r="J39">
        <v>2</v>
      </c>
      <c r="K39">
        <v>1</v>
      </c>
      <c r="L39">
        <v>1</v>
      </c>
      <c r="M39">
        <v>2</v>
      </c>
      <c r="N39">
        <v>15</v>
      </c>
      <c r="O39">
        <v>0.72799999999999998</v>
      </c>
      <c r="P39">
        <v>0.5</v>
      </c>
      <c r="Q39">
        <v>0</v>
      </c>
      <c r="R39">
        <v>0</v>
      </c>
    </row>
    <row r="40" spans="1:18" x14ac:dyDescent="0.3">
      <c r="A40" t="s">
        <v>36</v>
      </c>
      <c r="B40" t="s">
        <v>57</v>
      </c>
      <c r="C40">
        <v>4.3009999999999999E-4</v>
      </c>
      <c r="D40">
        <v>1.845</v>
      </c>
      <c r="E40">
        <v>2.7000000000000001E-3</v>
      </c>
      <c r="F40">
        <v>3.322E-2</v>
      </c>
      <c r="G40">
        <v>1.1719999999999999</v>
      </c>
      <c r="H40">
        <v>2.222E-2</v>
      </c>
      <c r="I40">
        <v>0</v>
      </c>
      <c r="J40">
        <v>2</v>
      </c>
      <c r="K40">
        <v>1</v>
      </c>
      <c r="L40">
        <v>1</v>
      </c>
      <c r="M40">
        <v>1</v>
      </c>
      <c r="N40">
        <v>15</v>
      </c>
      <c r="O40">
        <v>0.7</v>
      </c>
      <c r="P40">
        <v>0.61599999999999999</v>
      </c>
      <c r="Q40">
        <v>0</v>
      </c>
      <c r="R40">
        <v>0</v>
      </c>
    </row>
    <row r="41" spans="1:18" x14ac:dyDescent="0.3">
      <c r="A41">
        <v>6</v>
      </c>
      <c r="B41" t="s">
        <v>60</v>
      </c>
      <c r="C41">
        <v>4.3009999999999999E-4</v>
      </c>
      <c r="D41">
        <v>1.845</v>
      </c>
      <c r="E41">
        <v>2.7000000000000001E-3</v>
      </c>
      <c r="F41">
        <v>3.322E-2</v>
      </c>
      <c r="G41">
        <v>1.1719999999999999</v>
      </c>
      <c r="H41">
        <v>2.222E-2</v>
      </c>
      <c r="I41">
        <v>0</v>
      </c>
      <c r="J41">
        <v>1</v>
      </c>
      <c r="K41">
        <v>1</v>
      </c>
      <c r="L41">
        <v>1</v>
      </c>
      <c r="M41">
        <v>0</v>
      </c>
      <c r="N41">
        <v>15</v>
      </c>
      <c r="O41">
        <v>0.98499999999999999</v>
      </c>
      <c r="P41">
        <v>0.98499999999999999</v>
      </c>
      <c r="Q41">
        <v>0</v>
      </c>
      <c r="R41">
        <v>0</v>
      </c>
    </row>
    <row r="42" spans="1:18" x14ac:dyDescent="0.3">
      <c r="A42">
        <v>7</v>
      </c>
      <c r="B42" t="s">
        <v>61</v>
      </c>
      <c r="C42">
        <v>4.3009999999999999E-4</v>
      </c>
      <c r="D42">
        <v>1.845</v>
      </c>
      <c r="E42">
        <v>2.7000000000000001E-3</v>
      </c>
      <c r="F42">
        <v>3.322E-2</v>
      </c>
      <c r="G42">
        <v>1.1719999999999999</v>
      </c>
      <c r="H42">
        <v>2.222E-2</v>
      </c>
      <c r="I42">
        <v>0</v>
      </c>
      <c r="J42">
        <v>0</v>
      </c>
      <c r="K42">
        <v>1</v>
      </c>
      <c r="L42">
        <v>1</v>
      </c>
      <c r="M42">
        <v>0</v>
      </c>
      <c r="N42">
        <v>15</v>
      </c>
      <c r="O42">
        <v>1</v>
      </c>
      <c r="P42">
        <v>1</v>
      </c>
      <c r="Q42">
        <v>0</v>
      </c>
      <c r="R42">
        <v>2</v>
      </c>
    </row>
    <row r="43" spans="1:18" x14ac:dyDescent="0.3">
      <c r="A43">
        <v>8</v>
      </c>
      <c r="B43" t="s">
        <v>62</v>
      </c>
      <c r="C43">
        <v>4.3009999999999999E-4</v>
      </c>
      <c r="D43">
        <v>1.845</v>
      </c>
      <c r="E43">
        <v>2.7000000000000001E-3</v>
      </c>
      <c r="F43">
        <v>3.322E-2</v>
      </c>
      <c r="G43">
        <v>1.1719999999999999</v>
      </c>
      <c r="H43">
        <v>2.222E-2</v>
      </c>
      <c r="I43">
        <v>0</v>
      </c>
      <c r="J43">
        <v>0</v>
      </c>
      <c r="K43">
        <v>0</v>
      </c>
      <c r="L43">
        <v>2</v>
      </c>
      <c r="M43">
        <v>0</v>
      </c>
      <c r="N43">
        <v>20</v>
      </c>
      <c r="O43">
        <v>1</v>
      </c>
      <c r="P43">
        <v>1</v>
      </c>
      <c r="Q43">
        <v>0</v>
      </c>
      <c r="R43">
        <v>0</v>
      </c>
    </row>
    <row r="44" spans="1:18" x14ac:dyDescent="0.3">
      <c r="A44">
        <v>9</v>
      </c>
      <c r="B44" t="s">
        <v>63</v>
      </c>
      <c r="C44">
        <v>4.5455400000000003E-4</v>
      </c>
      <c r="D44">
        <v>2.0891743699999998</v>
      </c>
      <c r="E44">
        <v>5.14125E-3</v>
      </c>
      <c r="F44">
        <v>3.322E-2</v>
      </c>
      <c r="G44">
        <v>1.1719999999999999</v>
      </c>
      <c r="H44">
        <v>2.222E-2</v>
      </c>
      <c r="I44">
        <v>0</v>
      </c>
      <c r="J44">
        <v>0</v>
      </c>
      <c r="K44">
        <v>0</v>
      </c>
      <c r="L44">
        <v>2</v>
      </c>
      <c r="M44">
        <v>0</v>
      </c>
      <c r="N44">
        <v>20</v>
      </c>
      <c r="O44">
        <v>1.02</v>
      </c>
      <c r="P44">
        <v>1.02</v>
      </c>
      <c r="Q44">
        <v>0</v>
      </c>
      <c r="R44">
        <v>0</v>
      </c>
    </row>
    <row r="45" spans="1:18" x14ac:dyDescent="0.3">
      <c r="A45">
        <v>10</v>
      </c>
      <c r="B45" t="s">
        <v>64</v>
      </c>
      <c r="C45">
        <v>0</v>
      </c>
      <c r="D45">
        <v>0</v>
      </c>
      <c r="E45">
        <v>0</v>
      </c>
      <c r="F45">
        <v>-1</v>
      </c>
      <c r="G45">
        <v>-1</v>
      </c>
      <c r="H45">
        <v>-1</v>
      </c>
      <c r="I45">
        <v>15</v>
      </c>
      <c r="J45">
        <v>0</v>
      </c>
      <c r="K45">
        <v>0</v>
      </c>
      <c r="L45">
        <v>2</v>
      </c>
      <c r="M45">
        <v>0</v>
      </c>
      <c r="N45">
        <v>20</v>
      </c>
      <c r="O45">
        <v>1.02</v>
      </c>
      <c r="P45">
        <v>1.02</v>
      </c>
      <c r="Q45">
        <v>0</v>
      </c>
      <c r="R45">
        <v>0</v>
      </c>
    </row>
    <row r="46" spans="1:18" x14ac:dyDescent="0.3">
      <c r="A46">
        <v>11</v>
      </c>
      <c r="B46" t="s">
        <v>65</v>
      </c>
      <c r="C46">
        <v>1.8497699999999999E-4</v>
      </c>
      <c r="D46">
        <v>2.46</v>
      </c>
      <c r="E46">
        <v>2.549452E-2</v>
      </c>
      <c r="F46">
        <v>-1</v>
      </c>
      <c r="G46">
        <v>-1</v>
      </c>
      <c r="H46">
        <v>-1</v>
      </c>
      <c r="I46">
        <v>-33</v>
      </c>
      <c r="J46">
        <v>0</v>
      </c>
      <c r="K46">
        <v>1</v>
      </c>
      <c r="L46">
        <v>-1</v>
      </c>
      <c r="M46">
        <v>1</v>
      </c>
      <c r="N46">
        <v>25</v>
      </c>
      <c r="O46">
        <v>0.9</v>
      </c>
      <c r="P46">
        <v>0.9</v>
      </c>
      <c r="Q46">
        <v>1</v>
      </c>
      <c r="R46">
        <v>0</v>
      </c>
    </row>
    <row r="47" spans="1:18" x14ac:dyDescent="0.3">
      <c r="A47">
        <v>12</v>
      </c>
      <c r="B47" t="s">
        <v>66</v>
      </c>
      <c r="C47">
        <v>1.2200000000000001E-7</v>
      </c>
      <c r="D47">
        <v>3.84</v>
      </c>
      <c r="E47">
        <v>1.1180000000000001E-3</v>
      </c>
      <c r="F47">
        <v>-1</v>
      </c>
      <c r="G47">
        <v>-1</v>
      </c>
      <c r="H47">
        <v>-1</v>
      </c>
      <c r="I47">
        <v>-33</v>
      </c>
      <c r="J47">
        <v>0</v>
      </c>
      <c r="K47">
        <v>0</v>
      </c>
      <c r="L47">
        <v>2</v>
      </c>
      <c r="M47">
        <v>0</v>
      </c>
      <c r="N47">
        <v>25</v>
      </c>
      <c r="O47">
        <v>0.93</v>
      </c>
      <c r="P47">
        <v>0.93</v>
      </c>
      <c r="Q47">
        <v>1</v>
      </c>
      <c r="R47">
        <v>0</v>
      </c>
    </row>
    <row r="48" spans="1:18" x14ac:dyDescent="0.3">
      <c r="A48">
        <v>13</v>
      </c>
      <c r="B48" t="s">
        <v>67</v>
      </c>
      <c r="C48">
        <v>4.3009999999999999E-4</v>
      </c>
      <c r="D48">
        <v>1.845</v>
      </c>
      <c r="E48">
        <v>2.7000000000000001E-3</v>
      </c>
      <c r="F48">
        <v>3.322E-2</v>
      </c>
      <c r="G48">
        <v>1.1719999999999999</v>
      </c>
      <c r="H48">
        <v>2.222E-2</v>
      </c>
      <c r="I48">
        <v>15</v>
      </c>
      <c r="J48">
        <v>0</v>
      </c>
      <c r="K48">
        <v>0</v>
      </c>
      <c r="L48">
        <v>2</v>
      </c>
      <c r="M48">
        <v>0</v>
      </c>
      <c r="N48">
        <v>20</v>
      </c>
      <c r="O48">
        <v>1</v>
      </c>
      <c r="P48">
        <v>0.99</v>
      </c>
      <c r="Q48">
        <v>0</v>
      </c>
      <c r="R48">
        <v>0</v>
      </c>
    </row>
    <row r="49" spans="1:18" x14ac:dyDescent="0.3">
      <c r="A49">
        <v>14</v>
      </c>
      <c r="B49" t="s">
        <v>68</v>
      </c>
      <c r="C49">
        <v>2.3227299999999999E-4</v>
      </c>
      <c r="D49">
        <v>2.00692</v>
      </c>
      <c r="E49">
        <v>9.6670999999999997E-4</v>
      </c>
      <c r="F49">
        <v>-1</v>
      </c>
      <c r="G49">
        <v>-1</v>
      </c>
      <c r="H49">
        <v>-1</v>
      </c>
      <c r="I49">
        <v>-41</v>
      </c>
      <c r="J49">
        <v>0</v>
      </c>
      <c r="K49">
        <v>0</v>
      </c>
      <c r="L49">
        <v>2</v>
      </c>
      <c r="M49">
        <v>0</v>
      </c>
      <c r="N49">
        <v>25</v>
      </c>
      <c r="O49">
        <v>1.06</v>
      </c>
      <c r="P49">
        <v>1.06</v>
      </c>
      <c r="Q49">
        <v>1</v>
      </c>
      <c r="R49">
        <v>0</v>
      </c>
    </row>
    <row r="50" spans="1:18" x14ac:dyDescent="0.3">
      <c r="A50">
        <v>15</v>
      </c>
      <c r="B50" t="s">
        <v>69</v>
      </c>
      <c r="C50">
        <v>1.8497699999999999E-4</v>
      </c>
      <c r="D50">
        <v>2.46</v>
      </c>
      <c r="E50">
        <v>2.549452E-2</v>
      </c>
      <c r="F50">
        <v>-1</v>
      </c>
      <c r="G50">
        <v>-1</v>
      </c>
      <c r="H50">
        <v>-1</v>
      </c>
      <c r="I50">
        <v>-38</v>
      </c>
      <c r="J50">
        <v>0</v>
      </c>
      <c r="K50">
        <v>0</v>
      </c>
      <c r="L50">
        <v>2</v>
      </c>
      <c r="M50">
        <v>0</v>
      </c>
      <c r="N50">
        <v>25</v>
      </c>
      <c r="O50">
        <v>1.01</v>
      </c>
      <c r="P50">
        <v>1.01</v>
      </c>
      <c r="Q50">
        <v>1</v>
      </c>
      <c r="R50">
        <v>0</v>
      </c>
    </row>
    <row r="51" spans="1:18" x14ac:dyDescent="0.3">
      <c r="A51">
        <v>16</v>
      </c>
      <c r="B51" t="s">
        <v>70</v>
      </c>
      <c r="C51">
        <v>1.8497699999999999E-4</v>
      </c>
      <c r="D51">
        <v>2.46</v>
      </c>
      <c r="E51">
        <v>2.549452E-2</v>
      </c>
      <c r="F51">
        <v>-1</v>
      </c>
      <c r="G51">
        <v>-1</v>
      </c>
      <c r="H51">
        <v>-1</v>
      </c>
      <c r="I51">
        <v>-38</v>
      </c>
      <c r="J51">
        <v>0</v>
      </c>
      <c r="K51">
        <v>0</v>
      </c>
      <c r="L51">
        <v>2</v>
      </c>
      <c r="M51">
        <v>0</v>
      </c>
      <c r="N51">
        <v>25</v>
      </c>
      <c r="O51">
        <v>1.05</v>
      </c>
      <c r="P51">
        <v>1.05</v>
      </c>
      <c r="Q51">
        <v>1</v>
      </c>
      <c r="R51">
        <v>0</v>
      </c>
    </row>
    <row r="52" spans="1:18" x14ac:dyDescent="0.3">
      <c r="A52">
        <v>17</v>
      </c>
      <c r="B52" t="s">
        <v>71</v>
      </c>
      <c r="C52">
        <v>1.8497699999999999E-4</v>
      </c>
      <c r="D52">
        <v>2.46</v>
      </c>
      <c r="E52">
        <v>2.549452E-2</v>
      </c>
      <c r="F52">
        <v>-1</v>
      </c>
      <c r="G52">
        <v>-1</v>
      </c>
      <c r="H52">
        <v>-1</v>
      </c>
      <c r="I52">
        <v>-38</v>
      </c>
      <c r="J52">
        <v>0</v>
      </c>
      <c r="K52">
        <v>0</v>
      </c>
      <c r="L52">
        <v>2</v>
      </c>
      <c r="M52">
        <v>0</v>
      </c>
      <c r="N52">
        <v>25</v>
      </c>
      <c r="O52">
        <v>1.05</v>
      </c>
      <c r="P52">
        <v>1.05</v>
      </c>
      <c r="Q52">
        <v>1</v>
      </c>
      <c r="R52">
        <v>1</v>
      </c>
    </row>
    <row r="54" spans="1:18" x14ac:dyDescent="0.3">
      <c r="A54" t="s">
        <v>72</v>
      </c>
    </row>
    <row r="55" spans="1:18" x14ac:dyDescent="0.3">
      <c r="A55" t="s">
        <v>33</v>
      </c>
      <c r="B55" t="s">
        <v>75</v>
      </c>
      <c r="C55">
        <v>1.4300000000000001E-4</v>
      </c>
      <c r="D55">
        <v>2.2490000000000001</v>
      </c>
      <c r="E55">
        <v>2.6700000000000001E-3</v>
      </c>
      <c r="F55">
        <v>-1</v>
      </c>
      <c r="G55">
        <v>-1</v>
      </c>
      <c r="H55">
        <v>-1</v>
      </c>
      <c r="I55">
        <v>0</v>
      </c>
      <c r="J55">
        <v>1</v>
      </c>
      <c r="K55">
        <v>2</v>
      </c>
      <c r="L55">
        <v>0</v>
      </c>
      <c r="M55">
        <v>1</v>
      </c>
      <c r="N55">
        <v>5</v>
      </c>
      <c r="O55">
        <v>0.6</v>
      </c>
      <c r="P55">
        <v>0.5</v>
      </c>
      <c r="Q55">
        <v>0</v>
      </c>
      <c r="R55">
        <v>0</v>
      </c>
    </row>
    <row r="56" spans="1:18" x14ac:dyDescent="0.3">
      <c r="A56">
        <v>2</v>
      </c>
      <c r="B56" t="s">
        <v>76</v>
      </c>
      <c r="C56">
        <v>1.4300000000000001E-4</v>
      </c>
      <c r="D56">
        <v>2.2490000000000001</v>
      </c>
      <c r="E56">
        <v>2.6700000000000001E-3</v>
      </c>
      <c r="F56">
        <v>2.4699999999999999E-4</v>
      </c>
      <c r="G56">
        <v>2.129</v>
      </c>
      <c r="H56">
        <v>1.72E-3</v>
      </c>
      <c r="I56">
        <v>0</v>
      </c>
      <c r="J56">
        <v>2</v>
      </c>
      <c r="K56">
        <v>0</v>
      </c>
      <c r="L56">
        <v>0</v>
      </c>
      <c r="M56">
        <v>1</v>
      </c>
      <c r="N56">
        <v>10</v>
      </c>
      <c r="O56">
        <v>0.70299999999999996</v>
      </c>
      <c r="P56">
        <v>0.65500000000000003</v>
      </c>
      <c r="Q56">
        <v>0</v>
      </c>
      <c r="R56">
        <v>0</v>
      </c>
    </row>
    <row r="57" spans="1:18" x14ac:dyDescent="0.3">
      <c r="A57">
        <v>3</v>
      </c>
      <c r="B57" t="s">
        <v>77</v>
      </c>
      <c r="C57">
        <v>1.4300000000000001E-4</v>
      </c>
      <c r="D57">
        <v>2.2490000000000001</v>
      </c>
      <c r="E57">
        <v>2.6700000000000001E-3</v>
      </c>
      <c r="F57">
        <v>2.4699999999999999E-4</v>
      </c>
      <c r="G57">
        <v>2.129</v>
      </c>
      <c r="H57">
        <v>1.72E-3</v>
      </c>
      <c r="I57">
        <v>0</v>
      </c>
      <c r="J57">
        <v>2</v>
      </c>
      <c r="K57">
        <v>1</v>
      </c>
      <c r="L57">
        <v>0</v>
      </c>
      <c r="M57">
        <v>1</v>
      </c>
      <c r="N57">
        <v>10</v>
      </c>
      <c r="O57">
        <v>0.65</v>
      </c>
      <c r="P57">
        <v>0.6</v>
      </c>
      <c r="Q57">
        <v>0</v>
      </c>
      <c r="R57">
        <v>0</v>
      </c>
    </row>
    <row r="58" spans="1:18" x14ac:dyDescent="0.3">
      <c r="A58">
        <v>4</v>
      </c>
      <c r="B58" t="s">
        <v>78</v>
      </c>
      <c r="C58">
        <v>1.4300000000000001E-4</v>
      </c>
      <c r="D58">
        <v>2.2490000000000001</v>
      </c>
      <c r="E58">
        <v>2.6700000000000001E-3</v>
      </c>
      <c r="F58">
        <v>2.4699999999999999E-4</v>
      </c>
      <c r="G58">
        <v>2.129</v>
      </c>
      <c r="H58">
        <v>1.72E-3</v>
      </c>
      <c r="I58">
        <v>0</v>
      </c>
      <c r="J58">
        <v>2</v>
      </c>
      <c r="K58">
        <v>1</v>
      </c>
      <c r="L58">
        <v>1</v>
      </c>
      <c r="M58">
        <v>1</v>
      </c>
      <c r="N58">
        <v>10</v>
      </c>
      <c r="O58">
        <v>0.65</v>
      </c>
      <c r="P58">
        <v>0.6</v>
      </c>
      <c r="Q58">
        <v>0</v>
      </c>
      <c r="R58">
        <v>0</v>
      </c>
    </row>
    <row r="59" spans="1:18" x14ac:dyDescent="0.3">
      <c r="A59">
        <v>5</v>
      </c>
      <c r="B59" t="s">
        <v>79</v>
      </c>
      <c r="C59">
        <v>1.4300000000000001E-4</v>
      </c>
      <c r="D59">
        <v>2.2490000000000001</v>
      </c>
      <c r="E59">
        <v>2.6700000000000001E-3</v>
      </c>
      <c r="F59">
        <v>2.4699999999999999E-4</v>
      </c>
      <c r="G59">
        <v>2.129</v>
      </c>
      <c r="H59">
        <v>1.72E-3</v>
      </c>
      <c r="I59">
        <v>0</v>
      </c>
      <c r="J59">
        <v>2</v>
      </c>
      <c r="K59">
        <v>0</v>
      </c>
      <c r="L59">
        <v>1</v>
      </c>
      <c r="M59">
        <v>1</v>
      </c>
      <c r="N59">
        <v>10</v>
      </c>
      <c r="O59">
        <v>0.70299999999999996</v>
      </c>
      <c r="P59">
        <v>0.65500000000000003</v>
      </c>
      <c r="Q59">
        <v>0</v>
      </c>
      <c r="R59">
        <v>0</v>
      </c>
    </row>
    <row r="60" spans="1:18" x14ac:dyDescent="0.3">
      <c r="A60">
        <v>6</v>
      </c>
      <c r="B60" t="s">
        <v>80</v>
      </c>
      <c r="C60">
        <v>1.4300000000000001E-4</v>
      </c>
      <c r="D60">
        <v>2.2490000000000001</v>
      </c>
      <c r="E60">
        <v>2.6700000000000001E-3</v>
      </c>
      <c r="F60">
        <v>2.4699999999999999E-4</v>
      </c>
      <c r="G60">
        <v>2.129</v>
      </c>
      <c r="H60">
        <v>1.72E-3</v>
      </c>
      <c r="I60">
        <v>0</v>
      </c>
      <c r="J60">
        <v>2</v>
      </c>
      <c r="K60">
        <v>0</v>
      </c>
      <c r="L60">
        <v>1</v>
      </c>
      <c r="M60">
        <v>1</v>
      </c>
      <c r="N60">
        <v>10</v>
      </c>
      <c r="O60">
        <v>0.79400000000000004</v>
      </c>
      <c r="P60">
        <v>0.754</v>
      </c>
      <c r="Q60">
        <v>0</v>
      </c>
      <c r="R60">
        <v>0</v>
      </c>
    </row>
    <row r="61" spans="1:18" x14ac:dyDescent="0.3">
      <c r="A61">
        <v>7</v>
      </c>
      <c r="B61" t="s">
        <v>81</v>
      </c>
      <c r="C61">
        <v>1.4300000000000001E-4</v>
      </c>
      <c r="D61">
        <v>2.2490000000000001</v>
      </c>
      <c r="E61">
        <v>2.6700000000000001E-3</v>
      </c>
      <c r="F61">
        <v>2.4699999999999999E-4</v>
      </c>
      <c r="G61">
        <v>2.129</v>
      </c>
      <c r="H61">
        <v>1.72E-3</v>
      </c>
      <c r="I61">
        <v>0</v>
      </c>
      <c r="J61">
        <v>2</v>
      </c>
      <c r="K61">
        <v>0</v>
      </c>
      <c r="L61">
        <v>1</v>
      </c>
      <c r="M61">
        <v>1</v>
      </c>
      <c r="N61">
        <v>10</v>
      </c>
      <c r="O61">
        <v>0.69499999999999995</v>
      </c>
      <c r="P61">
        <v>0.64500000000000002</v>
      </c>
      <c r="Q61">
        <v>0</v>
      </c>
      <c r="R61">
        <v>0</v>
      </c>
    </row>
    <row r="62" spans="1:18" x14ac:dyDescent="0.3">
      <c r="A62">
        <v>8</v>
      </c>
      <c r="B62" t="s">
        <v>82</v>
      </c>
      <c r="C62">
        <v>6.0000000000000002E-5</v>
      </c>
      <c r="D62">
        <v>2.2490000000000001</v>
      </c>
      <c r="E62">
        <v>2.6700000000000001E-3</v>
      </c>
      <c r="F62">
        <v>2.4699999999999999E-4</v>
      </c>
      <c r="G62">
        <v>2.129</v>
      </c>
      <c r="H62">
        <v>1.72E-3</v>
      </c>
      <c r="I62">
        <v>0</v>
      </c>
      <c r="J62">
        <v>1</v>
      </c>
      <c r="K62">
        <v>0</v>
      </c>
      <c r="L62">
        <v>3</v>
      </c>
      <c r="M62">
        <v>0</v>
      </c>
      <c r="N62">
        <v>15</v>
      </c>
      <c r="O62">
        <v>0.877</v>
      </c>
      <c r="P62">
        <v>0.754</v>
      </c>
      <c r="Q62">
        <v>0</v>
      </c>
      <c r="R62">
        <v>0</v>
      </c>
    </row>
    <row r="63" spans="1:18" x14ac:dyDescent="0.3">
      <c r="A63" t="s">
        <v>73</v>
      </c>
      <c r="B63" t="s">
        <v>83</v>
      </c>
      <c r="C63">
        <v>1.4300000000000001E-4</v>
      </c>
      <c r="D63">
        <v>2.2490000000000001</v>
      </c>
      <c r="E63">
        <v>2.6700000000000001E-3</v>
      </c>
      <c r="F63">
        <v>2.4699999999999999E-4</v>
      </c>
      <c r="G63">
        <v>2.129</v>
      </c>
      <c r="H63">
        <v>1.72E-3</v>
      </c>
      <c r="I63">
        <v>0</v>
      </c>
      <c r="J63">
        <v>1</v>
      </c>
      <c r="K63">
        <v>1</v>
      </c>
      <c r="L63">
        <v>-1</v>
      </c>
      <c r="M63">
        <v>0</v>
      </c>
      <c r="N63">
        <v>15</v>
      </c>
      <c r="O63">
        <v>0.86</v>
      </c>
      <c r="P63">
        <v>0.76800000000000002</v>
      </c>
      <c r="Q63">
        <v>0</v>
      </c>
      <c r="R63">
        <v>0</v>
      </c>
    </row>
    <row r="64" spans="1:18" x14ac:dyDescent="0.3">
      <c r="A64" t="s">
        <v>74</v>
      </c>
      <c r="B64" t="s">
        <v>84</v>
      </c>
      <c r="C64">
        <v>1.4300000000000001E-4</v>
      </c>
      <c r="D64">
        <v>2.2490000000000001</v>
      </c>
      <c r="E64">
        <v>2.6700000000000001E-3</v>
      </c>
      <c r="F64">
        <v>2.4699999999999999E-4</v>
      </c>
      <c r="G64">
        <v>2.129</v>
      </c>
      <c r="H64">
        <v>1.72E-3</v>
      </c>
      <c r="I64">
        <v>0</v>
      </c>
      <c r="J64">
        <v>1</v>
      </c>
      <c r="K64">
        <v>1</v>
      </c>
      <c r="L64">
        <v>3</v>
      </c>
      <c r="M64">
        <v>0</v>
      </c>
      <c r="N64">
        <v>15</v>
      </c>
      <c r="O64">
        <v>0.86</v>
      </c>
      <c r="P64">
        <v>0.76800000000000002</v>
      </c>
      <c r="Q64">
        <v>0</v>
      </c>
      <c r="R64">
        <v>0</v>
      </c>
    </row>
    <row r="65" spans="1:18" x14ac:dyDescent="0.3">
      <c r="A65">
        <v>11</v>
      </c>
      <c r="B65" t="s">
        <v>85</v>
      </c>
      <c r="C65">
        <v>2.4300000000000001E-5</v>
      </c>
      <c r="D65">
        <v>2.4769999999999999</v>
      </c>
      <c r="E65">
        <v>3.0699999999999998E-3</v>
      </c>
      <c r="F65">
        <v>2.4699999999999999E-4</v>
      </c>
      <c r="G65">
        <v>2.129</v>
      </c>
      <c r="H65">
        <v>1.72E-3</v>
      </c>
      <c r="I65">
        <v>0</v>
      </c>
      <c r="J65">
        <v>1</v>
      </c>
      <c r="K65">
        <v>0</v>
      </c>
      <c r="L65">
        <v>2</v>
      </c>
      <c r="M65">
        <v>1</v>
      </c>
      <c r="N65">
        <v>15</v>
      </c>
      <c r="O65">
        <v>0.75900000000000001</v>
      </c>
      <c r="P65">
        <v>0.70899999999999996</v>
      </c>
      <c r="Q65">
        <v>0</v>
      </c>
      <c r="R65">
        <v>0</v>
      </c>
    </row>
    <row r="66" spans="1:18" x14ac:dyDescent="0.3">
      <c r="A66">
        <v>12</v>
      </c>
      <c r="B66" t="s">
        <v>86</v>
      </c>
      <c r="C66">
        <v>1.4300000000000001E-4</v>
      </c>
      <c r="D66">
        <v>2.2490000000000001</v>
      </c>
      <c r="E66">
        <v>2.6700000000000001E-3</v>
      </c>
      <c r="F66">
        <v>2.4699999999999999E-4</v>
      </c>
      <c r="G66">
        <v>2.129</v>
      </c>
      <c r="H66">
        <v>1.72E-3</v>
      </c>
      <c r="I66">
        <v>0</v>
      </c>
      <c r="J66">
        <v>1</v>
      </c>
      <c r="K66">
        <v>0</v>
      </c>
      <c r="L66">
        <v>2</v>
      </c>
      <c r="M66">
        <v>0</v>
      </c>
      <c r="N66">
        <v>15</v>
      </c>
      <c r="O66">
        <v>0.79400000000000004</v>
      </c>
      <c r="P66">
        <v>0.754</v>
      </c>
      <c r="Q66">
        <v>0</v>
      </c>
      <c r="R66">
        <v>0</v>
      </c>
    </row>
    <row r="67" spans="1:18" x14ac:dyDescent="0.3">
      <c r="A67">
        <v>13</v>
      </c>
      <c r="B67" t="s">
        <v>87</v>
      </c>
      <c r="C67">
        <v>6.8910000000000003E-5</v>
      </c>
      <c r="D67">
        <v>2.2599999999999998</v>
      </c>
      <c r="E67">
        <v>3.3300000000000001E-3</v>
      </c>
      <c r="F67">
        <v>9.7100000000000002E-5</v>
      </c>
      <c r="G67">
        <v>2.2829999999999999</v>
      </c>
      <c r="H67">
        <v>3.5000000000000001E-3</v>
      </c>
      <c r="I67">
        <v>0</v>
      </c>
      <c r="J67">
        <v>1</v>
      </c>
      <c r="K67">
        <v>0</v>
      </c>
      <c r="L67">
        <v>2</v>
      </c>
      <c r="M67">
        <v>0</v>
      </c>
      <c r="N67">
        <v>25</v>
      </c>
      <c r="O67">
        <v>0.99</v>
      </c>
      <c r="P67">
        <v>0.97199999999999998</v>
      </c>
      <c r="Q67">
        <v>0</v>
      </c>
      <c r="R67">
        <v>0</v>
      </c>
    </row>
    <row r="68" spans="1:18" x14ac:dyDescent="0.3">
      <c r="A68">
        <v>14</v>
      </c>
      <c r="B68" t="s">
        <v>88</v>
      </c>
      <c r="C68">
        <v>6.8910000000000003E-5</v>
      </c>
      <c r="D68">
        <v>2.2599999999999998</v>
      </c>
      <c r="E68">
        <v>3.3300000000000001E-3</v>
      </c>
      <c r="F68">
        <v>9.7100000000000002E-5</v>
      </c>
      <c r="G68">
        <v>2.2829999999999999</v>
      </c>
      <c r="H68">
        <v>3.5000000000000001E-3</v>
      </c>
      <c r="I68">
        <v>0</v>
      </c>
      <c r="J68">
        <v>1</v>
      </c>
      <c r="K68">
        <v>0</v>
      </c>
      <c r="L68">
        <v>2</v>
      </c>
      <c r="M68">
        <v>0</v>
      </c>
      <c r="N68">
        <v>25</v>
      </c>
      <c r="O68">
        <v>0.97899999999999998</v>
      </c>
      <c r="P68">
        <v>0.92600000000000005</v>
      </c>
      <c r="Q68">
        <v>0</v>
      </c>
      <c r="R68">
        <v>0</v>
      </c>
    </row>
    <row r="69" spans="1:18" x14ac:dyDescent="0.3">
      <c r="A69">
        <v>15</v>
      </c>
      <c r="B69" t="s">
        <v>89</v>
      </c>
      <c r="C69">
        <v>6.8910000000000003E-5</v>
      </c>
      <c r="D69">
        <v>2.2599999999999998</v>
      </c>
      <c r="E69">
        <v>3.3300000000000001E-3</v>
      </c>
      <c r="F69">
        <v>9.7100000000000002E-5</v>
      </c>
      <c r="G69">
        <v>2.2829999999999999</v>
      </c>
      <c r="H69">
        <v>3.5000000000000001E-3</v>
      </c>
      <c r="I69">
        <v>0</v>
      </c>
      <c r="J69">
        <v>1</v>
      </c>
      <c r="K69">
        <v>0</v>
      </c>
      <c r="L69">
        <v>2</v>
      </c>
      <c r="M69">
        <v>0</v>
      </c>
      <c r="N69">
        <v>25</v>
      </c>
      <c r="O69">
        <v>0.98799999999999999</v>
      </c>
      <c r="P69">
        <v>0.97699999999999998</v>
      </c>
      <c r="Q69">
        <v>0</v>
      </c>
      <c r="R69">
        <v>0</v>
      </c>
    </row>
    <row r="70" spans="1:18" x14ac:dyDescent="0.3">
      <c r="A70">
        <v>16</v>
      </c>
      <c r="B70" t="s">
        <v>90</v>
      </c>
      <c r="C70">
        <v>6.8910000000000003E-5</v>
      </c>
      <c r="D70">
        <v>2.2599999999999998</v>
      </c>
      <c r="E70">
        <v>3.3300000000000001E-3</v>
      </c>
      <c r="F70">
        <v>9.7100000000000002E-5</v>
      </c>
      <c r="G70">
        <v>2.2829999999999999</v>
      </c>
      <c r="H70">
        <v>3.5000000000000001E-3</v>
      </c>
      <c r="I70">
        <v>0</v>
      </c>
      <c r="J70">
        <v>1</v>
      </c>
      <c r="K70">
        <v>0</v>
      </c>
      <c r="L70">
        <v>2</v>
      </c>
      <c r="M70">
        <v>0</v>
      </c>
      <c r="N70">
        <v>25</v>
      </c>
      <c r="O70">
        <v>0.92900000000000005</v>
      </c>
      <c r="P70">
        <v>0.88100000000000001</v>
      </c>
      <c r="Q70">
        <v>0</v>
      </c>
      <c r="R70">
        <v>0</v>
      </c>
    </row>
    <row r="71" spans="1:18" x14ac:dyDescent="0.3">
      <c r="A71">
        <v>17</v>
      </c>
      <c r="B71" t="s">
        <v>91</v>
      </c>
      <c r="C71">
        <v>6.8910000000000003E-5</v>
      </c>
      <c r="D71">
        <v>2.2599999999999998</v>
      </c>
      <c r="E71">
        <v>3.3300000000000001E-3</v>
      </c>
      <c r="F71">
        <v>9.7100000000000002E-5</v>
      </c>
      <c r="G71">
        <v>2.2829999999999999</v>
      </c>
      <c r="H71">
        <v>3.5000000000000001E-3</v>
      </c>
      <c r="I71">
        <v>0</v>
      </c>
      <c r="J71">
        <v>1</v>
      </c>
      <c r="K71">
        <v>0</v>
      </c>
      <c r="L71">
        <v>2</v>
      </c>
      <c r="M71">
        <v>0</v>
      </c>
      <c r="N71">
        <v>25</v>
      </c>
      <c r="O71">
        <v>0.86</v>
      </c>
      <c r="P71">
        <v>0.8</v>
      </c>
      <c r="Q71">
        <v>0</v>
      </c>
      <c r="R71">
        <v>0</v>
      </c>
    </row>
    <row r="72" spans="1:18" x14ac:dyDescent="0.3">
      <c r="A72">
        <v>18</v>
      </c>
      <c r="B72" t="s">
        <v>92</v>
      </c>
      <c r="C72">
        <v>6.8910000000000003E-5</v>
      </c>
      <c r="D72">
        <v>2.2599999999999998</v>
      </c>
      <c r="E72">
        <v>3.3300000000000001E-3</v>
      </c>
      <c r="F72">
        <v>9.7100000000000002E-5</v>
      </c>
      <c r="G72">
        <v>2.2829999999999999</v>
      </c>
      <c r="H72">
        <v>3.5000000000000001E-3</v>
      </c>
      <c r="I72">
        <v>0</v>
      </c>
      <c r="J72">
        <v>1</v>
      </c>
      <c r="K72">
        <v>0</v>
      </c>
      <c r="L72">
        <v>2</v>
      </c>
      <c r="M72">
        <v>0</v>
      </c>
      <c r="N72">
        <v>25</v>
      </c>
      <c r="O72">
        <v>0.9</v>
      </c>
      <c r="P72">
        <v>0.86</v>
      </c>
      <c r="Q72">
        <v>0</v>
      </c>
      <c r="R72">
        <v>0</v>
      </c>
    </row>
    <row r="74" spans="1:18" x14ac:dyDescent="0.3">
      <c r="A74" t="s">
        <v>93</v>
      </c>
    </row>
    <row r="75" spans="1:18" x14ac:dyDescent="0.3">
      <c r="A75" t="s">
        <v>33</v>
      </c>
      <c r="B75" t="s">
        <v>96</v>
      </c>
      <c r="C75">
        <v>1.4300000000000001E-4</v>
      </c>
      <c r="D75">
        <v>2.2490000000000001</v>
      </c>
      <c r="E75">
        <v>2.6700000000000001E-3</v>
      </c>
      <c r="F75">
        <v>-1</v>
      </c>
      <c r="G75">
        <v>-1</v>
      </c>
      <c r="H75">
        <v>-1</v>
      </c>
      <c r="I75">
        <v>0</v>
      </c>
      <c r="J75">
        <v>1</v>
      </c>
      <c r="K75">
        <v>2</v>
      </c>
      <c r="L75">
        <v>0</v>
      </c>
      <c r="M75">
        <v>1</v>
      </c>
      <c r="N75">
        <v>5</v>
      </c>
      <c r="O75">
        <v>0.6</v>
      </c>
      <c r="P75">
        <v>0.5</v>
      </c>
      <c r="Q75">
        <v>0</v>
      </c>
      <c r="R75">
        <v>0</v>
      </c>
    </row>
    <row r="76" spans="1:18" x14ac:dyDescent="0.3">
      <c r="A76" t="s">
        <v>34</v>
      </c>
      <c r="B76" t="s">
        <v>95</v>
      </c>
      <c r="C76">
        <v>1.4300000000000001E-4</v>
      </c>
      <c r="D76">
        <v>2.2490000000000001</v>
      </c>
      <c r="E76">
        <v>2.6700000000000001E-3</v>
      </c>
      <c r="F76">
        <v>2.4699999999999999E-4</v>
      </c>
      <c r="G76">
        <v>2.129</v>
      </c>
      <c r="H76">
        <v>1.72E-3</v>
      </c>
      <c r="I76">
        <v>0</v>
      </c>
      <c r="J76">
        <v>1</v>
      </c>
      <c r="K76">
        <v>2</v>
      </c>
      <c r="L76">
        <v>1</v>
      </c>
      <c r="M76">
        <v>1</v>
      </c>
      <c r="N76">
        <v>5</v>
      </c>
      <c r="O76">
        <v>0.6</v>
      </c>
      <c r="P76">
        <v>0.5</v>
      </c>
      <c r="Q76">
        <v>0</v>
      </c>
      <c r="R76">
        <v>0</v>
      </c>
    </row>
    <row r="77" spans="1:18" x14ac:dyDescent="0.3">
      <c r="A77" t="s">
        <v>35</v>
      </c>
      <c r="B77" t="s">
        <v>97</v>
      </c>
      <c r="C77">
        <v>4.3009999999999999E-4</v>
      </c>
      <c r="D77">
        <v>1.845</v>
      </c>
      <c r="E77">
        <v>2.7000000000000001E-3</v>
      </c>
      <c r="F77">
        <v>3.322E-2</v>
      </c>
      <c r="G77">
        <v>1.1719999999999999</v>
      </c>
      <c r="H77">
        <v>2.222E-2</v>
      </c>
      <c r="I77">
        <v>0</v>
      </c>
      <c r="J77">
        <v>2</v>
      </c>
      <c r="K77">
        <v>1</v>
      </c>
      <c r="L77">
        <v>0</v>
      </c>
      <c r="M77">
        <v>1</v>
      </c>
      <c r="N77">
        <v>15</v>
      </c>
      <c r="O77">
        <v>0.7</v>
      </c>
      <c r="P77">
        <v>0.61599999999999999</v>
      </c>
      <c r="Q77">
        <v>0</v>
      </c>
      <c r="R77">
        <v>0</v>
      </c>
    </row>
    <row r="78" spans="1:18" x14ac:dyDescent="0.3">
      <c r="A78" t="s">
        <v>36</v>
      </c>
      <c r="B78" t="s">
        <v>98</v>
      </c>
      <c r="C78">
        <v>4.3009999999999999E-4</v>
      </c>
      <c r="D78">
        <v>1.845</v>
      </c>
      <c r="E78">
        <v>2.7000000000000001E-3</v>
      </c>
      <c r="F78">
        <v>3.322E-2</v>
      </c>
      <c r="G78">
        <v>1.1719999999999999</v>
      </c>
      <c r="H78">
        <v>2.222E-2</v>
      </c>
      <c r="I78">
        <v>0</v>
      </c>
      <c r="J78">
        <v>2</v>
      </c>
      <c r="K78">
        <v>1</v>
      </c>
      <c r="L78">
        <v>1</v>
      </c>
      <c r="M78">
        <v>1</v>
      </c>
      <c r="N78">
        <v>15</v>
      </c>
      <c r="O78">
        <v>0.7</v>
      </c>
      <c r="P78">
        <v>0.61599999999999999</v>
      </c>
      <c r="Q78">
        <v>0</v>
      </c>
      <c r="R78">
        <v>0</v>
      </c>
    </row>
    <row r="79" spans="1:18" x14ac:dyDescent="0.3">
      <c r="A79" t="s">
        <v>94</v>
      </c>
      <c r="B79" t="s">
        <v>99</v>
      </c>
      <c r="C79">
        <v>2.4699999999999999E-4</v>
      </c>
      <c r="D79">
        <v>2.129</v>
      </c>
      <c r="E79">
        <v>1.72E-3</v>
      </c>
      <c r="F79">
        <v>1.4300000000000001E-4</v>
      </c>
      <c r="G79">
        <v>2.2490000000000001</v>
      </c>
      <c r="H79">
        <v>2.6700000000000001E-3</v>
      </c>
      <c r="I79">
        <v>0</v>
      </c>
      <c r="J79">
        <v>1</v>
      </c>
      <c r="K79">
        <v>1</v>
      </c>
      <c r="L79">
        <v>3</v>
      </c>
      <c r="M79">
        <v>0</v>
      </c>
      <c r="N79">
        <v>15</v>
      </c>
      <c r="O79">
        <v>0.79500000000000004</v>
      </c>
      <c r="P79">
        <v>0.7</v>
      </c>
      <c r="Q79">
        <v>0</v>
      </c>
      <c r="R79">
        <v>0</v>
      </c>
    </row>
    <row r="80" spans="1:18" x14ac:dyDescent="0.3">
      <c r="A80" t="s">
        <v>73</v>
      </c>
      <c r="B80" t="s">
        <v>100</v>
      </c>
      <c r="C80">
        <v>1.4300000000000001E-4</v>
      </c>
      <c r="D80">
        <v>2.2490000000000001</v>
      </c>
      <c r="E80">
        <v>2.6700000000000001E-3</v>
      </c>
      <c r="F80">
        <v>2.4699999999999999E-4</v>
      </c>
      <c r="G80">
        <v>2.129</v>
      </c>
      <c r="H80">
        <v>1.72E-3</v>
      </c>
      <c r="I80">
        <v>0</v>
      </c>
      <c r="J80">
        <v>1</v>
      </c>
      <c r="K80">
        <v>1</v>
      </c>
      <c r="L80">
        <v>-1</v>
      </c>
      <c r="M80">
        <v>0</v>
      </c>
      <c r="N80">
        <v>15</v>
      </c>
      <c r="O80">
        <v>0.86</v>
      </c>
      <c r="P80">
        <v>0.76800000000000002</v>
      </c>
      <c r="Q80">
        <v>0</v>
      </c>
      <c r="R80">
        <v>0</v>
      </c>
    </row>
    <row r="81" spans="1:18" x14ac:dyDescent="0.3">
      <c r="A81">
        <v>7</v>
      </c>
      <c r="B81" t="s">
        <v>101</v>
      </c>
      <c r="C81">
        <v>3.3500000000000001E-3</v>
      </c>
      <c r="D81">
        <v>2.13</v>
      </c>
      <c r="E81">
        <v>8.7010000000000004E-2</v>
      </c>
      <c r="F81">
        <v>-1</v>
      </c>
      <c r="G81">
        <v>-1</v>
      </c>
      <c r="H81">
        <v>-1</v>
      </c>
      <c r="I81">
        <v>15</v>
      </c>
      <c r="J81">
        <v>1</v>
      </c>
      <c r="K81">
        <v>0</v>
      </c>
      <c r="L81">
        <v>2</v>
      </c>
      <c r="M81">
        <v>0</v>
      </c>
      <c r="N81">
        <v>20</v>
      </c>
      <c r="O81">
        <v>1</v>
      </c>
      <c r="P81">
        <v>1</v>
      </c>
      <c r="Q81">
        <v>0</v>
      </c>
      <c r="R81">
        <v>0</v>
      </c>
    </row>
    <row r="82" spans="1:18" x14ac:dyDescent="0.3">
      <c r="A82">
        <v>8</v>
      </c>
      <c r="B82" t="s">
        <v>102</v>
      </c>
      <c r="C82">
        <v>3.3600000000000001E-3</v>
      </c>
      <c r="D82">
        <v>1.4179999999999999</v>
      </c>
      <c r="E82">
        <v>9.1701000000000005E-3</v>
      </c>
      <c r="F82">
        <v>-1</v>
      </c>
      <c r="G82">
        <v>-1</v>
      </c>
      <c r="H82">
        <v>-1</v>
      </c>
      <c r="I82">
        <v>20</v>
      </c>
      <c r="J82">
        <v>1</v>
      </c>
      <c r="K82">
        <v>0</v>
      </c>
      <c r="L82">
        <v>2</v>
      </c>
      <c r="M82">
        <v>0</v>
      </c>
      <c r="N82">
        <v>20</v>
      </c>
      <c r="O82">
        <v>1</v>
      </c>
      <c r="P82">
        <v>1</v>
      </c>
      <c r="Q82">
        <v>0</v>
      </c>
      <c r="R82">
        <v>0</v>
      </c>
    </row>
    <row r="83" spans="1:18" x14ac:dyDescent="0.3">
      <c r="A83">
        <v>9</v>
      </c>
      <c r="B83" t="s">
        <v>103</v>
      </c>
      <c r="C83">
        <v>0</v>
      </c>
      <c r="D83">
        <v>0</v>
      </c>
      <c r="E83">
        <v>0</v>
      </c>
      <c r="F83">
        <v>-1</v>
      </c>
      <c r="G83">
        <v>-1</v>
      </c>
      <c r="H83">
        <v>-1</v>
      </c>
      <c r="I83">
        <v>30</v>
      </c>
      <c r="J83">
        <v>0</v>
      </c>
      <c r="K83">
        <v>0</v>
      </c>
      <c r="L83">
        <v>2</v>
      </c>
      <c r="M83">
        <v>0</v>
      </c>
      <c r="N83">
        <v>30</v>
      </c>
      <c r="O83">
        <v>1</v>
      </c>
      <c r="P83">
        <v>1</v>
      </c>
      <c r="Q83">
        <v>0</v>
      </c>
      <c r="R83">
        <v>0</v>
      </c>
    </row>
    <row r="85" spans="1:18" x14ac:dyDescent="0.3">
      <c r="A85" t="s">
        <v>104</v>
      </c>
    </row>
    <row r="86" spans="1:18" x14ac:dyDescent="0.3">
      <c r="A86" t="s">
        <v>33</v>
      </c>
      <c r="B86" t="s">
        <v>111</v>
      </c>
      <c r="C86">
        <v>1.4300000000000001E-4</v>
      </c>
      <c r="D86">
        <v>2.2490000000000001</v>
      </c>
      <c r="E86">
        <v>2.6700000000000001E-3</v>
      </c>
      <c r="F86">
        <v>-1</v>
      </c>
      <c r="G86">
        <v>-1</v>
      </c>
      <c r="H86">
        <v>-1</v>
      </c>
      <c r="I86">
        <v>0</v>
      </c>
      <c r="J86">
        <v>1</v>
      </c>
      <c r="K86">
        <v>2</v>
      </c>
      <c r="L86">
        <v>0</v>
      </c>
      <c r="M86">
        <v>1</v>
      </c>
      <c r="N86">
        <v>5</v>
      </c>
      <c r="O86">
        <v>0.6</v>
      </c>
      <c r="P86">
        <v>0.5</v>
      </c>
      <c r="Q86">
        <v>0</v>
      </c>
      <c r="R86">
        <v>0</v>
      </c>
    </row>
    <row r="87" spans="1:18" x14ac:dyDescent="0.3">
      <c r="A87" t="s">
        <v>35</v>
      </c>
      <c r="B87" t="s">
        <v>112</v>
      </c>
      <c r="C87">
        <v>4.3009999999999999E-4</v>
      </c>
      <c r="D87">
        <v>1.845</v>
      </c>
      <c r="E87">
        <v>2.7000000000000001E-3</v>
      </c>
      <c r="F87">
        <v>3.322E-2</v>
      </c>
      <c r="G87">
        <v>1.1719999999999999</v>
      </c>
      <c r="H87">
        <v>2.222E-2</v>
      </c>
      <c r="I87">
        <v>0</v>
      </c>
      <c r="J87">
        <v>2</v>
      </c>
      <c r="K87">
        <v>1</v>
      </c>
      <c r="L87">
        <v>0</v>
      </c>
      <c r="M87">
        <v>1</v>
      </c>
      <c r="N87">
        <v>15</v>
      </c>
      <c r="O87">
        <v>0.7</v>
      </c>
      <c r="P87">
        <v>0.61599999999999999</v>
      </c>
      <c r="Q87">
        <v>0</v>
      </c>
      <c r="R87">
        <v>0</v>
      </c>
    </row>
    <row r="88" spans="1:18" x14ac:dyDescent="0.3">
      <c r="A88" t="s">
        <v>36</v>
      </c>
      <c r="B88" t="s">
        <v>113</v>
      </c>
      <c r="C88">
        <v>4.3009999999999999E-4</v>
      </c>
      <c r="D88">
        <v>1.845</v>
      </c>
      <c r="E88">
        <v>2.7000000000000001E-3</v>
      </c>
      <c r="F88">
        <v>3.322E-2</v>
      </c>
      <c r="G88">
        <v>1.1719999999999999</v>
      </c>
      <c r="H88">
        <v>2.222E-2</v>
      </c>
      <c r="I88">
        <v>0</v>
      </c>
      <c r="J88">
        <v>2</v>
      </c>
      <c r="K88">
        <v>1</v>
      </c>
      <c r="L88">
        <v>1</v>
      </c>
      <c r="M88">
        <v>1</v>
      </c>
      <c r="N88">
        <v>15</v>
      </c>
      <c r="O88">
        <v>0.7</v>
      </c>
      <c r="P88">
        <v>0.61599999999999999</v>
      </c>
      <c r="Q88">
        <v>0</v>
      </c>
      <c r="R88">
        <v>0</v>
      </c>
    </row>
    <row r="89" spans="1:18" x14ac:dyDescent="0.3">
      <c r="A89" t="s">
        <v>105</v>
      </c>
      <c r="B89" t="s">
        <v>114</v>
      </c>
      <c r="C89">
        <v>4.3009999999999999E-4</v>
      </c>
      <c r="D89">
        <v>1.845</v>
      </c>
      <c r="E89">
        <v>2.7000000000000001E-3</v>
      </c>
      <c r="F89">
        <v>3.322E-2</v>
      </c>
      <c r="G89">
        <v>1.1719999999999999</v>
      </c>
      <c r="H89">
        <v>2.222E-2</v>
      </c>
      <c r="I89">
        <v>0</v>
      </c>
      <c r="J89">
        <v>2</v>
      </c>
      <c r="K89">
        <v>1</v>
      </c>
      <c r="L89">
        <v>0</v>
      </c>
      <c r="M89">
        <v>2</v>
      </c>
      <c r="N89">
        <v>15</v>
      </c>
      <c r="O89">
        <v>0.72799999999999998</v>
      </c>
      <c r="P89">
        <v>0.5</v>
      </c>
      <c r="Q89">
        <v>0</v>
      </c>
      <c r="R89">
        <v>0</v>
      </c>
    </row>
    <row r="90" spans="1:18" x14ac:dyDescent="0.3">
      <c r="A90" t="s">
        <v>106</v>
      </c>
      <c r="B90" t="s">
        <v>115</v>
      </c>
      <c r="C90">
        <v>4.3009999999999999E-4</v>
      </c>
      <c r="D90">
        <v>1.845</v>
      </c>
      <c r="E90">
        <v>2.7000000000000001E-3</v>
      </c>
      <c r="F90">
        <v>3.322E-2</v>
      </c>
      <c r="G90">
        <v>1.1719999999999999</v>
      </c>
      <c r="H90">
        <v>2.222E-2</v>
      </c>
      <c r="I90">
        <v>0</v>
      </c>
      <c r="J90">
        <v>2</v>
      </c>
      <c r="K90">
        <v>1</v>
      </c>
      <c r="L90">
        <v>1</v>
      </c>
      <c r="M90">
        <v>2</v>
      </c>
      <c r="N90">
        <v>15</v>
      </c>
      <c r="O90">
        <v>0.72799999999999998</v>
      </c>
      <c r="P90">
        <v>0.5</v>
      </c>
      <c r="Q90">
        <v>0</v>
      </c>
      <c r="R90">
        <v>0</v>
      </c>
    </row>
    <row r="91" spans="1:18" x14ac:dyDescent="0.3">
      <c r="A91" t="s">
        <v>107</v>
      </c>
      <c r="B91" t="s">
        <v>116</v>
      </c>
      <c r="C91">
        <v>4.3009999999999999E-4</v>
      </c>
      <c r="D91">
        <v>1.845</v>
      </c>
      <c r="E91">
        <v>2.7000000000000001E-3</v>
      </c>
      <c r="F91">
        <v>3.322E-2</v>
      </c>
      <c r="G91">
        <v>1.1719999999999999</v>
      </c>
      <c r="H91">
        <v>2.222E-2</v>
      </c>
      <c r="I91">
        <v>0</v>
      </c>
      <c r="J91">
        <v>1</v>
      </c>
      <c r="K91">
        <v>1</v>
      </c>
      <c r="L91">
        <v>1</v>
      </c>
      <c r="M91">
        <v>0</v>
      </c>
      <c r="N91">
        <v>15</v>
      </c>
      <c r="O91">
        <v>0.98499999999999999</v>
      </c>
      <c r="P91">
        <v>0.98499999999999999</v>
      </c>
      <c r="Q91">
        <v>0</v>
      </c>
      <c r="R91">
        <v>0</v>
      </c>
    </row>
    <row r="92" spans="1:18" x14ac:dyDescent="0.3">
      <c r="A92" t="s">
        <v>108</v>
      </c>
      <c r="B92" t="s">
        <v>117</v>
      </c>
      <c r="C92">
        <v>4.3009999999999999E-4</v>
      </c>
      <c r="D92">
        <v>1.845</v>
      </c>
      <c r="E92">
        <v>2.7000000000000001E-3</v>
      </c>
      <c r="F92">
        <v>3.322E-2</v>
      </c>
      <c r="G92">
        <v>1.1719999999999999</v>
      </c>
      <c r="H92">
        <v>2.222E-2</v>
      </c>
      <c r="I92">
        <v>0</v>
      </c>
      <c r="J92">
        <v>0</v>
      </c>
      <c r="K92">
        <v>1</v>
      </c>
      <c r="L92">
        <v>1</v>
      </c>
      <c r="M92">
        <v>0</v>
      </c>
      <c r="N92">
        <v>15</v>
      </c>
      <c r="O92">
        <v>1</v>
      </c>
      <c r="P92">
        <v>1</v>
      </c>
      <c r="Q92">
        <v>0</v>
      </c>
      <c r="R92">
        <v>2</v>
      </c>
    </row>
    <row r="93" spans="1:18" x14ac:dyDescent="0.3">
      <c r="A93" t="s">
        <v>109</v>
      </c>
      <c r="B93" t="s">
        <v>118</v>
      </c>
      <c r="C93">
        <v>4.3009999999999999E-4</v>
      </c>
      <c r="D93">
        <v>1.845</v>
      </c>
      <c r="E93">
        <v>2.7000000000000001E-3</v>
      </c>
      <c r="F93">
        <v>3.322E-2</v>
      </c>
      <c r="G93">
        <v>1.1719999999999999</v>
      </c>
      <c r="H93">
        <v>2.222E-2</v>
      </c>
      <c r="I93">
        <v>0</v>
      </c>
      <c r="J93">
        <v>0</v>
      </c>
      <c r="K93">
        <v>0</v>
      </c>
      <c r="L93">
        <v>2</v>
      </c>
      <c r="M93">
        <v>0</v>
      </c>
      <c r="N93">
        <v>20</v>
      </c>
      <c r="O93">
        <v>1</v>
      </c>
      <c r="P93">
        <v>1</v>
      </c>
      <c r="Q93">
        <v>0</v>
      </c>
      <c r="R93">
        <v>0</v>
      </c>
    </row>
    <row r="94" spans="1:18" x14ac:dyDescent="0.3">
      <c r="A94" t="s">
        <v>110</v>
      </c>
      <c r="B94" t="s">
        <v>119</v>
      </c>
      <c r="C94">
        <v>4.5455400000000003E-4</v>
      </c>
      <c r="D94">
        <v>2.0891743699999998</v>
      </c>
      <c r="E94">
        <v>5.14125E-3</v>
      </c>
      <c r="F94">
        <v>3.322E-2</v>
      </c>
      <c r="G94">
        <v>1.1719999999999999</v>
      </c>
      <c r="H94">
        <v>2.222E-2</v>
      </c>
      <c r="I94">
        <v>0</v>
      </c>
      <c r="J94">
        <v>0</v>
      </c>
      <c r="K94">
        <v>0</v>
      </c>
      <c r="L94">
        <v>2</v>
      </c>
      <c r="M94">
        <v>0</v>
      </c>
      <c r="N94">
        <v>20</v>
      </c>
      <c r="O94">
        <v>1.02</v>
      </c>
      <c r="P94">
        <v>1.02</v>
      </c>
      <c r="Q94">
        <v>0</v>
      </c>
      <c r="R94">
        <v>0</v>
      </c>
    </row>
    <row r="95" spans="1:18" x14ac:dyDescent="0.3">
      <c r="A95" t="s">
        <v>73</v>
      </c>
      <c r="B95" t="s">
        <v>120</v>
      </c>
      <c r="C95">
        <v>1.4300000000000001E-4</v>
      </c>
      <c r="D95">
        <v>2.2490000000000001</v>
      </c>
      <c r="E95">
        <v>2.6700000000000001E-3</v>
      </c>
      <c r="F95">
        <v>2.4699999999999999E-4</v>
      </c>
      <c r="G95">
        <v>2.129</v>
      </c>
      <c r="H95">
        <v>1.72E-3</v>
      </c>
      <c r="I95">
        <v>0</v>
      </c>
      <c r="J95">
        <v>1</v>
      </c>
      <c r="K95">
        <v>1</v>
      </c>
      <c r="L95">
        <v>-1</v>
      </c>
      <c r="M95">
        <v>0</v>
      </c>
      <c r="N95">
        <v>15</v>
      </c>
      <c r="O95">
        <v>0.86</v>
      </c>
      <c r="P95">
        <v>0.76800000000000002</v>
      </c>
      <c r="Q95">
        <v>0</v>
      </c>
      <c r="R95">
        <v>0</v>
      </c>
    </row>
    <row r="96" spans="1:18" x14ac:dyDescent="0.3">
      <c r="A96" t="s">
        <v>74</v>
      </c>
      <c r="B96" t="s">
        <v>121</v>
      </c>
      <c r="C96">
        <v>2.4699999999999999E-4</v>
      </c>
      <c r="D96">
        <v>2.129</v>
      </c>
      <c r="E96">
        <v>1.72E-3</v>
      </c>
      <c r="F96">
        <v>1.4300000000000001E-4</v>
      </c>
      <c r="G96">
        <v>2.2490000000000001</v>
      </c>
      <c r="H96">
        <v>2.6700000000000001E-3</v>
      </c>
      <c r="I96">
        <v>0</v>
      </c>
      <c r="J96">
        <v>1</v>
      </c>
      <c r="K96">
        <v>1</v>
      </c>
      <c r="L96">
        <v>3</v>
      </c>
      <c r="M96">
        <v>0</v>
      </c>
      <c r="N96">
        <v>15</v>
      </c>
      <c r="O96">
        <v>0.86</v>
      </c>
      <c r="P96">
        <v>0.76800000000000002</v>
      </c>
      <c r="Q96">
        <v>0</v>
      </c>
      <c r="R96">
        <v>0</v>
      </c>
    </row>
    <row r="97" spans="1:18" x14ac:dyDescent="0.3">
      <c r="A97">
        <v>12</v>
      </c>
      <c r="B97" t="s">
        <v>122</v>
      </c>
      <c r="C97">
        <v>8.1983999999999998E-3</v>
      </c>
      <c r="D97">
        <v>1.119507</v>
      </c>
      <c r="E97">
        <v>5.032E-3</v>
      </c>
      <c r="F97">
        <v>-1</v>
      </c>
      <c r="G97">
        <v>-1</v>
      </c>
      <c r="H97">
        <v>-1</v>
      </c>
      <c r="I97">
        <v>25</v>
      </c>
      <c r="J97">
        <v>0</v>
      </c>
      <c r="K97">
        <v>0</v>
      </c>
      <c r="L97">
        <v>2</v>
      </c>
      <c r="M97">
        <v>0</v>
      </c>
      <c r="N97">
        <v>20</v>
      </c>
      <c r="O97">
        <v>1.02</v>
      </c>
      <c r="P97">
        <v>1.02</v>
      </c>
      <c r="Q97">
        <v>0</v>
      </c>
      <c r="R97">
        <v>0</v>
      </c>
    </row>
    <row r="99" spans="1:18" x14ac:dyDescent="0.3">
      <c r="A99" t="s">
        <v>123</v>
      </c>
    </row>
    <row r="100" spans="1:18" x14ac:dyDescent="0.3">
      <c r="A100" t="s">
        <v>33</v>
      </c>
      <c r="B100" t="s">
        <v>124</v>
      </c>
      <c r="C100">
        <v>1.4300000000000001E-4</v>
      </c>
      <c r="D100">
        <v>2.2490000000000001</v>
      </c>
      <c r="E100">
        <v>2.6700000000000001E-3</v>
      </c>
      <c r="F100">
        <v>-1</v>
      </c>
      <c r="G100">
        <v>-1</v>
      </c>
      <c r="H100">
        <v>-1</v>
      </c>
      <c r="I100">
        <v>0</v>
      </c>
      <c r="J100">
        <v>1</v>
      </c>
      <c r="K100">
        <v>2</v>
      </c>
      <c r="L100">
        <v>0</v>
      </c>
      <c r="M100">
        <v>1</v>
      </c>
      <c r="N100">
        <v>5</v>
      </c>
      <c r="O100">
        <v>0.6</v>
      </c>
      <c r="P100">
        <v>0.5</v>
      </c>
      <c r="Q100">
        <v>0</v>
      </c>
      <c r="R100">
        <v>0</v>
      </c>
    </row>
    <row r="101" spans="1:18" x14ac:dyDescent="0.3">
      <c r="A101" t="s">
        <v>35</v>
      </c>
      <c r="B101" t="s">
        <v>125</v>
      </c>
      <c r="C101">
        <v>4.3009999999999999E-4</v>
      </c>
      <c r="D101">
        <v>1.845</v>
      </c>
      <c r="E101">
        <v>2.7000000000000001E-3</v>
      </c>
      <c r="F101">
        <v>3.322E-2</v>
      </c>
      <c r="G101">
        <v>1.1719999999999999</v>
      </c>
      <c r="H101">
        <v>2.222E-2</v>
      </c>
      <c r="I101">
        <v>0</v>
      </c>
      <c r="J101">
        <v>2</v>
      </c>
      <c r="K101">
        <v>1</v>
      </c>
      <c r="L101">
        <v>0</v>
      </c>
      <c r="M101">
        <v>1</v>
      </c>
      <c r="N101">
        <v>15</v>
      </c>
      <c r="O101">
        <v>0.7</v>
      </c>
      <c r="P101">
        <v>0.61599999999999999</v>
      </c>
      <c r="Q101">
        <v>0</v>
      </c>
      <c r="R101">
        <v>0</v>
      </c>
    </row>
    <row r="102" spans="1:18" x14ac:dyDescent="0.3">
      <c r="A102" t="s">
        <v>36</v>
      </c>
      <c r="B102" t="s">
        <v>126</v>
      </c>
      <c r="C102">
        <v>4.3009999999999999E-4</v>
      </c>
      <c r="D102">
        <v>1.845</v>
      </c>
      <c r="E102">
        <v>2.7000000000000001E-3</v>
      </c>
      <c r="F102">
        <v>3.322E-2</v>
      </c>
      <c r="G102">
        <v>1.1719999999999999</v>
      </c>
      <c r="H102">
        <v>2.222E-2</v>
      </c>
      <c r="I102">
        <v>0</v>
      </c>
      <c r="J102">
        <v>2</v>
      </c>
      <c r="K102">
        <v>1</v>
      </c>
      <c r="L102">
        <v>1</v>
      </c>
      <c r="M102">
        <v>1</v>
      </c>
      <c r="N102">
        <v>15</v>
      </c>
      <c r="O102">
        <v>0.7</v>
      </c>
      <c r="P102">
        <v>0.61599999999999999</v>
      </c>
      <c r="Q102">
        <v>0</v>
      </c>
      <c r="R102">
        <v>0</v>
      </c>
    </row>
    <row r="103" spans="1:18" x14ac:dyDescent="0.3">
      <c r="A103">
        <v>4</v>
      </c>
      <c r="B103" t="s">
        <v>127</v>
      </c>
      <c r="C103">
        <v>4.3009999999999999E-4</v>
      </c>
      <c r="D103">
        <v>1.845</v>
      </c>
      <c r="E103">
        <v>2.7000000000000001E-3</v>
      </c>
      <c r="F103">
        <v>3.322E-2</v>
      </c>
      <c r="G103">
        <v>1.1719999999999999</v>
      </c>
      <c r="H103">
        <v>2.222E-2</v>
      </c>
      <c r="I103">
        <v>0</v>
      </c>
      <c r="J103">
        <v>2</v>
      </c>
      <c r="K103">
        <v>1</v>
      </c>
      <c r="L103">
        <v>0</v>
      </c>
      <c r="M103">
        <v>2</v>
      </c>
      <c r="N103">
        <v>15</v>
      </c>
      <c r="O103">
        <v>0.72799999999999998</v>
      </c>
      <c r="P103">
        <v>0.5</v>
      </c>
      <c r="Q103">
        <v>0</v>
      </c>
      <c r="R103">
        <v>0</v>
      </c>
    </row>
    <row r="104" spans="1:18" x14ac:dyDescent="0.3">
      <c r="A104">
        <v>5</v>
      </c>
      <c r="B104" t="s">
        <v>128</v>
      </c>
      <c r="C104">
        <v>4.3009999999999999E-4</v>
      </c>
      <c r="D104">
        <v>1.845</v>
      </c>
      <c r="E104">
        <v>2.7000000000000001E-3</v>
      </c>
      <c r="F104">
        <v>3.322E-2</v>
      </c>
      <c r="G104">
        <v>1.1719999999999999</v>
      </c>
      <c r="H104">
        <v>2.222E-2</v>
      </c>
      <c r="I104">
        <v>0</v>
      </c>
      <c r="J104">
        <v>2</v>
      </c>
      <c r="K104">
        <v>1</v>
      </c>
      <c r="L104">
        <v>1</v>
      </c>
      <c r="M104">
        <v>2</v>
      </c>
      <c r="N104">
        <v>15</v>
      </c>
      <c r="O104">
        <v>0.72799999999999998</v>
      </c>
      <c r="P104">
        <v>0.5</v>
      </c>
      <c r="Q104">
        <v>0</v>
      </c>
      <c r="R104">
        <v>0</v>
      </c>
    </row>
    <row r="105" spans="1:18" x14ac:dyDescent="0.3">
      <c r="A105">
        <v>6</v>
      </c>
      <c r="B105" t="s">
        <v>129</v>
      </c>
      <c r="C105">
        <v>4.3009999999999999E-4</v>
      </c>
      <c r="D105">
        <v>1.845</v>
      </c>
      <c r="E105">
        <v>2.7000000000000001E-3</v>
      </c>
      <c r="F105">
        <v>3.322E-2</v>
      </c>
      <c r="G105">
        <v>1.1719999999999999</v>
      </c>
      <c r="H105">
        <v>2.222E-2</v>
      </c>
      <c r="I105">
        <v>0</v>
      </c>
      <c r="J105">
        <v>1</v>
      </c>
      <c r="K105">
        <v>1</v>
      </c>
      <c r="L105">
        <v>1</v>
      </c>
      <c r="M105">
        <v>0</v>
      </c>
      <c r="N105">
        <v>15</v>
      </c>
      <c r="O105">
        <v>0.98499999999999999</v>
      </c>
      <c r="P105">
        <v>0.98499999999999999</v>
      </c>
      <c r="Q105">
        <v>0</v>
      </c>
      <c r="R105">
        <v>0</v>
      </c>
    </row>
    <row r="106" spans="1:18" x14ac:dyDescent="0.3">
      <c r="A106">
        <v>7</v>
      </c>
      <c r="B106" t="s">
        <v>130</v>
      </c>
      <c r="C106">
        <v>8.1983999999999998E-3</v>
      </c>
      <c r="D106">
        <v>1.119507</v>
      </c>
      <c r="E106">
        <v>5.032E-3</v>
      </c>
      <c r="F106">
        <v>3.322E-2</v>
      </c>
      <c r="G106">
        <v>1.1719999999999999</v>
      </c>
      <c r="H106">
        <v>2.222E-2</v>
      </c>
      <c r="I106">
        <v>15</v>
      </c>
      <c r="J106">
        <v>1</v>
      </c>
      <c r="K106">
        <v>0</v>
      </c>
      <c r="L106">
        <v>2</v>
      </c>
      <c r="M106">
        <v>0</v>
      </c>
      <c r="N106">
        <v>20</v>
      </c>
      <c r="O106">
        <v>1.02</v>
      </c>
      <c r="P106">
        <v>1.01</v>
      </c>
      <c r="Q106">
        <v>0</v>
      </c>
      <c r="R106">
        <v>0</v>
      </c>
    </row>
    <row r="107" spans="1:18" x14ac:dyDescent="0.3">
      <c r="A107">
        <v>8</v>
      </c>
      <c r="B107" t="s">
        <v>131</v>
      </c>
      <c r="C107">
        <v>8.1983999999999998E-3</v>
      </c>
      <c r="D107">
        <v>1.119507</v>
      </c>
      <c r="E107">
        <v>5.032E-3</v>
      </c>
      <c r="F107">
        <v>3.322E-2</v>
      </c>
      <c r="G107">
        <v>1.1719999999999999</v>
      </c>
      <c r="H107">
        <v>2.222E-2</v>
      </c>
      <c r="I107">
        <v>15</v>
      </c>
      <c r="J107">
        <v>1</v>
      </c>
      <c r="K107">
        <v>0</v>
      </c>
      <c r="L107">
        <v>2</v>
      </c>
      <c r="M107">
        <v>0</v>
      </c>
      <c r="N107">
        <v>20</v>
      </c>
      <c r="O107">
        <v>1.02</v>
      </c>
      <c r="P107">
        <v>1.01</v>
      </c>
      <c r="Q107">
        <v>0</v>
      </c>
      <c r="R107">
        <v>0</v>
      </c>
    </row>
    <row r="108" spans="1:18" x14ac:dyDescent="0.3">
      <c r="A108">
        <v>9</v>
      </c>
      <c r="B108" t="s">
        <v>132</v>
      </c>
      <c r="C108">
        <v>3.3600000000000001E-3</v>
      </c>
      <c r="D108">
        <v>1.4179999999999999</v>
      </c>
      <c r="E108">
        <v>9.1701000000000005E-3</v>
      </c>
      <c r="F108">
        <v>1.0399999999999999E-3</v>
      </c>
      <c r="G108">
        <v>1.7729999999999999</v>
      </c>
      <c r="H108">
        <v>8.2299999999999995E-3</v>
      </c>
      <c r="I108">
        <v>0</v>
      </c>
      <c r="J108">
        <v>1</v>
      </c>
      <c r="K108">
        <v>0</v>
      </c>
      <c r="L108">
        <v>2</v>
      </c>
      <c r="M108">
        <v>0</v>
      </c>
      <c r="N108">
        <v>15</v>
      </c>
      <c r="O108">
        <v>0.94499999999999995</v>
      </c>
      <c r="P108">
        <v>0.85</v>
      </c>
      <c r="Q108">
        <v>0</v>
      </c>
      <c r="R108">
        <v>0</v>
      </c>
    </row>
    <row r="109" spans="1:18" x14ac:dyDescent="0.3">
      <c r="A109">
        <v>10</v>
      </c>
      <c r="B109" t="s">
        <v>133</v>
      </c>
      <c r="C109">
        <v>3.3600000000000001E-3</v>
      </c>
      <c r="D109">
        <v>1.4179999999999999</v>
      </c>
      <c r="E109">
        <v>9.1701000000000005E-3</v>
      </c>
      <c r="F109">
        <v>-1</v>
      </c>
      <c r="G109">
        <v>-1</v>
      </c>
      <c r="H109">
        <v>-1</v>
      </c>
      <c r="I109">
        <v>15</v>
      </c>
      <c r="J109">
        <v>1</v>
      </c>
      <c r="K109">
        <v>1</v>
      </c>
      <c r="L109">
        <v>2</v>
      </c>
      <c r="M109">
        <v>1</v>
      </c>
      <c r="N109">
        <v>20</v>
      </c>
      <c r="O109">
        <v>0.94499999999999995</v>
      </c>
      <c r="P109">
        <v>0.94499999999999995</v>
      </c>
      <c r="Q109">
        <v>0</v>
      </c>
      <c r="R109">
        <v>0</v>
      </c>
    </row>
    <row r="111" spans="1:18" x14ac:dyDescent="0.3">
      <c r="A111" t="s">
        <v>134</v>
      </c>
    </row>
    <row r="112" spans="1:18" x14ac:dyDescent="0.3">
      <c r="A112" t="s">
        <v>33</v>
      </c>
      <c r="B112" t="s">
        <v>96</v>
      </c>
      <c r="C112">
        <v>1.4300000000000001E-4</v>
      </c>
      <c r="D112">
        <v>2.2490000000000001</v>
      </c>
      <c r="E112">
        <v>2.6700000000000001E-3</v>
      </c>
      <c r="F112">
        <v>-1</v>
      </c>
      <c r="G112">
        <v>-1</v>
      </c>
      <c r="H112">
        <v>-1</v>
      </c>
      <c r="I112">
        <v>0</v>
      </c>
      <c r="J112">
        <v>1</v>
      </c>
      <c r="K112">
        <v>2</v>
      </c>
      <c r="L112">
        <v>0</v>
      </c>
      <c r="M112">
        <v>1</v>
      </c>
      <c r="N112">
        <v>5</v>
      </c>
      <c r="O112">
        <v>0.6</v>
      </c>
      <c r="P112">
        <v>0.5</v>
      </c>
      <c r="Q112">
        <v>0</v>
      </c>
      <c r="R112">
        <v>0</v>
      </c>
    </row>
    <row r="113" spans="1:18" x14ac:dyDescent="0.3">
      <c r="A113" t="s">
        <v>34</v>
      </c>
      <c r="B113" t="s">
        <v>135</v>
      </c>
      <c r="C113">
        <v>1.4300000000000001E-4</v>
      </c>
      <c r="D113">
        <v>2.2490000000000001</v>
      </c>
      <c r="E113">
        <v>2.6700000000000001E-3</v>
      </c>
      <c r="F113">
        <v>2.4699999999999999E-4</v>
      </c>
      <c r="G113">
        <v>2.129</v>
      </c>
      <c r="H113">
        <v>1.72E-3</v>
      </c>
      <c r="I113">
        <v>0</v>
      </c>
      <c r="J113">
        <v>1</v>
      </c>
      <c r="K113">
        <v>2</v>
      </c>
      <c r="L113">
        <v>1</v>
      </c>
      <c r="M113">
        <v>1</v>
      </c>
      <c r="N113">
        <v>5</v>
      </c>
      <c r="O113">
        <v>0.6</v>
      </c>
      <c r="P113">
        <v>0.5</v>
      </c>
      <c r="Q113">
        <v>0</v>
      </c>
      <c r="R113">
        <v>0</v>
      </c>
    </row>
    <row r="114" spans="1:18" x14ac:dyDescent="0.3">
      <c r="A114" t="s">
        <v>35</v>
      </c>
      <c r="B114" t="s">
        <v>136</v>
      </c>
      <c r="C114">
        <v>4.3009999999999999E-4</v>
      </c>
      <c r="D114">
        <v>1.845</v>
      </c>
      <c r="E114">
        <v>2.7000000000000001E-3</v>
      </c>
      <c r="F114">
        <v>3.322E-2</v>
      </c>
      <c r="G114">
        <v>1.1719999999999999</v>
      </c>
      <c r="H114">
        <v>2.222E-2</v>
      </c>
      <c r="I114">
        <v>0</v>
      </c>
      <c r="J114">
        <v>2</v>
      </c>
      <c r="K114">
        <v>1</v>
      </c>
      <c r="L114">
        <v>0</v>
      </c>
      <c r="M114">
        <v>1</v>
      </c>
      <c r="N114">
        <v>15</v>
      </c>
      <c r="O114">
        <v>0.7</v>
      </c>
      <c r="P114">
        <v>0.61599999999999999</v>
      </c>
      <c r="Q114">
        <v>0</v>
      </c>
      <c r="R114">
        <v>0</v>
      </c>
    </row>
    <row r="115" spans="1:18" x14ac:dyDescent="0.3">
      <c r="A115" t="s">
        <v>36</v>
      </c>
      <c r="B115" t="s">
        <v>137</v>
      </c>
      <c r="C115">
        <v>4.3009999999999999E-4</v>
      </c>
      <c r="D115">
        <v>1.845</v>
      </c>
      <c r="E115">
        <v>2.7000000000000001E-3</v>
      </c>
      <c r="F115">
        <v>3.322E-2</v>
      </c>
      <c r="G115">
        <v>1.1719999999999999</v>
      </c>
      <c r="H115">
        <v>2.222E-2</v>
      </c>
      <c r="I115">
        <v>0</v>
      </c>
      <c r="J115">
        <v>2</v>
      </c>
      <c r="K115">
        <v>1</v>
      </c>
      <c r="L115">
        <v>1</v>
      </c>
      <c r="M115">
        <v>1</v>
      </c>
      <c r="N115">
        <v>15</v>
      </c>
      <c r="O115">
        <v>0.7</v>
      </c>
      <c r="P115">
        <v>0.61599999999999999</v>
      </c>
      <c r="Q115">
        <v>0</v>
      </c>
      <c r="R115">
        <v>0</v>
      </c>
    </row>
    <row r="116" spans="1:18" x14ac:dyDescent="0.3">
      <c r="A116">
        <v>5</v>
      </c>
      <c r="B116" t="s">
        <v>139</v>
      </c>
      <c r="C116">
        <v>4.3009999999999999E-4</v>
      </c>
      <c r="D116">
        <v>1.845</v>
      </c>
      <c r="E116">
        <v>2.7000000000000001E-3</v>
      </c>
      <c r="F116">
        <v>3.322E-2</v>
      </c>
      <c r="G116">
        <v>1.1719999999999999</v>
      </c>
      <c r="H116">
        <v>2.222E-2</v>
      </c>
      <c r="I116">
        <v>0</v>
      </c>
      <c r="J116">
        <v>2</v>
      </c>
      <c r="K116">
        <v>1</v>
      </c>
      <c r="L116">
        <v>0</v>
      </c>
      <c r="M116">
        <v>2</v>
      </c>
      <c r="N116">
        <v>15</v>
      </c>
      <c r="O116">
        <v>0.72799999999999998</v>
      </c>
      <c r="P116">
        <v>0.5</v>
      </c>
      <c r="Q116">
        <v>0</v>
      </c>
      <c r="R116">
        <v>0</v>
      </c>
    </row>
    <row r="117" spans="1:18" x14ac:dyDescent="0.3">
      <c r="A117" t="s">
        <v>74</v>
      </c>
      <c r="B117" t="s">
        <v>138</v>
      </c>
      <c r="C117">
        <v>2.4699999999999999E-4</v>
      </c>
      <c r="D117">
        <v>2.129</v>
      </c>
      <c r="E117">
        <v>1.72E-3</v>
      </c>
      <c r="F117">
        <v>1.4300000000000001E-4</v>
      </c>
      <c r="G117">
        <v>2.2490000000000001</v>
      </c>
      <c r="H117">
        <v>2.6700000000000001E-3</v>
      </c>
      <c r="I117">
        <v>0</v>
      </c>
      <c r="J117">
        <v>1</v>
      </c>
      <c r="K117">
        <v>1</v>
      </c>
      <c r="L117">
        <v>3</v>
      </c>
      <c r="M117">
        <v>0</v>
      </c>
      <c r="N117">
        <v>15</v>
      </c>
      <c r="O117">
        <v>0.86</v>
      </c>
      <c r="P117">
        <v>0.76800000000000002</v>
      </c>
      <c r="Q117">
        <v>0</v>
      </c>
      <c r="R117">
        <v>0</v>
      </c>
    </row>
    <row r="118" spans="1:18" x14ac:dyDescent="0.3">
      <c r="A118">
        <v>7</v>
      </c>
      <c r="B118" t="s">
        <v>140</v>
      </c>
      <c r="C118">
        <v>4.3009999999999999E-4</v>
      </c>
      <c r="D118">
        <v>1.845</v>
      </c>
      <c r="E118">
        <v>2.7000000000000001E-3</v>
      </c>
      <c r="F118">
        <v>3.322E-2</v>
      </c>
      <c r="G118">
        <v>1.1719999999999999</v>
      </c>
      <c r="H118">
        <v>2.222E-2</v>
      </c>
      <c r="I118">
        <v>0</v>
      </c>
      <c r="J118">
        <v>2</v>
      </c>
      <c r="K118">
        <v>1</v>
      </c>
      <c r="L118">
        <v>3</v>
      </c>
      <c r="M118">
        <v>2</v>
      </c>
      <c r="N118">
        <v>15</v>
      </c>
      <c r="O118">
        <v>0.72799999999999998</v>
      </c>
      <c r="P118">
        <v>0.5</v>
      </c>
      <c r="Q118">
        <v>0</v>
      </c>
      <c r="R118">
        <v>0</v>
      </c>
    </row>
    <row r="119" spans="1:18" x14ac:dyDescent="0.3">
      <c r="A119">
        <v>8</v>
      </c>
      <c r="B119" t="s">
        <v>141</v>
      </c>
      <c r="C119">
        <v>1.4300000000000001E-4</v>
      </c>
      <c r="D119">
        <v>2.2400000000000002</v>
      </c>
      <c r="E119">
        <v>2.6700000000000001E-3</v>
      </c>
      <c r="F119">
        <v>2.4699999999999999E-4</v>
      </c>
      <c r="G119">
        <v>2.129</v>
      </c>
      <c r="H119">
        <v>1.72E-3</v>
      </c>
      <c r="I119">
        <v>0</v>
      </c>
      <c r="J119">
        <v>1</v>
      </c>
      <c r="K119">
        <v>0</v>
      </c>
      <c r="L119">
        <v>3</v>
      </c>
      <c r="M119">
        <v>0</v>
      </c>
      <c r="N119">
        <v>15</v>
      </c>
      <c r="O119">
        <v>0.83</v>
      </c>
      <c r="P119">
        <v>0.78</v>
      </c>
      <c r="Q119">
        <v>0</v>
      </c>
      <c r="R119">
        <v>0</v>
      </c>
    </row>
    <row r="121" spans="1:18" x14ac:dyDescent="0.3">
      <c r="A121" t="s">
        <v>142</v>
      </c>
    </row>
    <row r="122" spans="1:18" x14ac:dyDescent="0.3">
      <c r="A122" t="s">
        <v>33</v>
      </c>
      <c r="B122" t="s">
        <v>13</v>
      </c>
      <c r="C122">
        <v>1.4300000000000001E-4</v>
      </c>
      <c r="D122">
        <v>2.2490000000000001</v>
      </c>
      <c r="E122">
        <v>2.6700000000000001E-3</v>
      </c>
      <c r="F122">
        <v>-1</v>
      </c>
      <c r="G122">
        <v>-1</v>
      </c>
      <c r="H122">
        <v>-1</v>
      </c>
      <c r="I122">
        <v>0</v>
      </c>
      <c r="J122">
        <v>1</v>
      </c>
      <c r="K122">
        <v>2</v>
      </c>
      <c r="L122">
        <v>0</v>
      </c>
      <c r="M122">
        <v>1</v>
      </c>
      <c r="N122">
        <v>5</v>
      </c>
      <c r="O122">
        <v>0.6</v>
      </c>
      <c r="P122">
        <v>0.5</v>
      </c>
      <c r="Q122">
        <v>0</v>
      </c>
      <c r="R122">
        <v>0</v>
      </c>
    </row>
    <row r="123" spans="1:18" x14ac:dyDescent="0.3">
      <c r="A123" t="s">
        <v>34</v>
      </c>
      <c r="B123" t="s">
        <v>143</v>
      </c>
      <c r="C123">
        <v>1.4300000000000001E-4</v>
      </c>
      <c r="D123">
        <v>2.2490000000000001</v>
      </c>
      <c r="E123">
        <v>2.6700000000000001E-3</v>
      </c>
      <c r="F123">
        <v>2.4699999999999999E-4</v>
      </c>
      <c r="G123">
        <v>2.129</v>
      </c>
      <c r="H123">
        <v>1.72E-3</v>
      </c>
      <c r="I123">
        <v>0</v>
      </c>
      <c r="J123">
        <v>1</v>
      </c>
      <c r="K123">
        <v>2</v>
      </c>
      <c r="L123">
        <v>1</v>
      </c>
      <c r="M123">
        <v>1</v>
      </c>
      <c r="N123">
        <v>5</v>
      </c>
      <c r="O123">
        <v>0.6</v>
      </c>
      <c r="P123">
        <v>0.5</v>
      </c>
      <c r="Q123">
        <v>0</v>
      </c>
      <c r="R123">
        <v>0</v>
      </c>
    </row>
    <row r="124" spans="1:18" x14ac:dyDescent="0.3">
      <c r="A124" t="s">
        <v>35</v>
      </c>
      <c r="B124" t="s">
        <v>145</v>
      </c>
      <c r="C124">
        <v>4.3009999999999999E-4</v>
      </c>
      <c r="D124">
        <v>1.845</v>
      </c>
      <c r="E124">
        <v>2.7000000000000001E-3</v>
      </c>
      <c r="F124">
        <v>3.322E-2</v>
      </c>
      <c r="G124">
        <v>1.1719999999999999</v>
      </c>
      <c r="H124">
        <v>2.222E-2</v>
      </c>
      <c r="I124">
        <v>0</v>
      </c>
      <c r="J124">
        <v>2</v>
      </c>
      <c r="K124">
        <v>1</v>
      </c>
      <c r="L124">
        <v>0</v>
      </c>
      <c r="M124">
        <v>1</v>
      </c>
      <c r="N124">
        <v>15</v>
      </c>
      <c r="O124">
        <v>0.7</v>
      </c>
      <c r="P124">
        <v>0.61599999999999999</v>
      </c>
      <c r="Q124">
        <v>0</v>
      </c>
      <c r="R124">
        <v>0</v>
      </c>
    </row>
    <row r="125" spans="1:18" x14ac:dyDescent="0.3">
      <c r="A125" t="s">
        <v>36</v>
      </c>
      <c r="B125" t="s">
        <v>144</v>
      </c>
      <c r="C125">
        <v>4.3009999999999999E-4</v>
      </c>
      <c r="D125">
        <v>1.845</v>
      </c>
      <c r="E125">
        <v>2.7000000000000001E-3</v>
      </c>
      <c r="F125">
        <v>3.322E-2</v>
      </c>
      <c r="G125">
        <v>1.1719999999999999</v>
      </c>
      <c r="H125">
        <v>2.222E-2</v>
      </c>
      <c r="I125">
        <v>0</v>
      </c>
      <c r="J125">
        <v>2</v>
      </c>
      <c r="K125">
        <v>1</v>
      </c>
      <c r="L125">
        <v>1</v>
      </c>
      <c r="M125">
        <v>1</v>
      </c>
      <c r="N125">
        <v>15</v>
      </c>
      <c r="O125">
        <v>0.7</v>
      </c>
      <c r="P125">
        <v>0.61599999999999999</v>
      </c>
      <c r="Q125">
        <v>0</v>
      </c>
      <c r="R125">
        <v>0</v>
      </c>
    </row>
    <row r="126" spans="1:18" x14ac:dyDescent="0.3">
      <c r="A126">
        <v>5</v>
      </c>
      <c r="B126" t="s">
        <v>146</v>
      </c>
      <c r="C126">
        <v>4.5455400000000003E-4</v>
      </c>
      <c r="D126">
        <v>2.0891743699999998</v>
      </c>
      <c r="E126">
        <v>5.14125E-3</v>
      </c>
      <c r="F126">
        <v>3.322E-2</v>
      </c>
      <c r="G126">
        <v>1.1719999999999999</v>
      </c>
      <c r="H126">
        <v>2.222E-2</v>
      </c>
      <c r="I126">
        <v>0</v>
      </c>
      <c r="J126">
        <v>0</v>
      </c>
      <c r="K126">
        <v>1</v>
      </c>
      <c r="L126">
        <v>0</v>
      </c>
      <c r="M126">
        <v>0</v>
      </c>
      <c r="N126">
        <v>20</v>
      </c>
      <c r="O126">
        <v>1.02</v>
      </c>
      <c r="P126">
        <v>1.02</v>
      </c>
      <c r="Q126">
        <v>0</v>
      </c>
      <c r="R126">
        <v>0</v>
      </c>
    </row>
    <row r="127" spans="1:18" x14ac:dyDescent="0.3">
      <c r="A127">
        <v>6</v>
      </c>
      <c r="B127" t="s">
        <v>147</v>
      </c>
      <c r="C127">
        <v>4.5455400000000003E-4</v>
      </c>
      <c r="D127">
        <v>2.0891743699999998</v>
      </c>
      <c r="E127">
        <v>5.14125E-3</v>
      </c>
      <c r="F127">
        <v>3.322E-2</v>
      </c>
      <c r="G127">
        <v>1.1719999999999999</v>
      </c>
      <c r="H127">
        <v>2.222E-2</v>
      </c>
      <c r="I127">
        <v>0</v>
      </c>
      <c r="J127">
        <v>0</v>
      </c>
      <c r="K127">
        <v>0</v>
      </c>
      <c r="L127">
        <v>3</v>
      </c>
      <c r="M127">
        <v>0</v>
      </c>
      <c r="N127">
        <v>20</v>
      </c>
      <c r="O127">
        <v>1.02</v>
      </c>
      <c r="P127">
        <v>1.02</v>
      </c>
      <c r="Q127">
        <v>0</v>
      </c>
      <c r="R127">
        <v>0</v>
      </c>
    </row>
    <row r="128" spans="1:18" x14ac:dyDescent="0.3">
      <c r="A128">
        <v>7</v>
      </c>
      <c r="B128" t="s">
        <v>148</v>
      </c>
      <c r="C128">
        <v>4.3009999999999999E-4</v>
      </c>
      <c r="D128">
        <v>1.845</v>
      </c>
      <c r="E128">
        <v>2.7000000000000001E-3</v>
      </c>
      <c r="F128">
        <v>3.322E-2</v>
      </c>
      <c r="G128">
        <v>1.1719999999999999</v>
      </c>
      <c r="H128">
        <v>2.222E-2</v>
      </c>
      <c r="I128">
        <v>0</v>
      </c>
      <c r="J128">
        <v>1</v>
      </c>
      <c r="K128">
        <v>1</v>
      </c>
      <c r="L128">
        <v>0</v>
      </c>
      <c r="M128">
        <v>2</v>
      </c>
      <c r="N128">
        <v>15</v>
      </c>
      <c r="O128">
        <v>0.72799999999999998</v>
      </c>
      <c r="P128">
        <v>0.5</v>
      </c>
      <c r="Q128">
        <v>0</v>
      </c>
      <c r="R128">
        <v>0</v>
      </c>
    </row>
    <row r="129" spans="1:18" x14ac:dyDescent="0.3">
      <c r="A129">
        <v>8</v>
      </c>
      <c r="B129" t="s">
        <v>149</v>
      </c>
      <c r="C129">
        <v>4.3009999999999999E-4</v>
      </c>
      <c r="D129">
        <v>1.845</v>
      </c>
      <c r="E129">
        <v>2.7000000000000001E-3</v>
      </c>
      <c r="F129">
        <v>3.322E-2</v>
      </c>
      <c r="G129">
        <v>1.1719999999999999</v>
      </c>
      <c r="H129">
        <v>2.222E-2</v>
      </c>
      <c r="I129">
        <v>0</v>
      </c>
      <c r="J129">
        <v>1</v>
      </c>
      <c r="K129">
        <v>0</v>
      </c>
      <c r="L129">
        <v>3</v>
      </c>
      <c r="M129">
        <v>2</v>
      </c>
      <c r="N129">
        <v>15</v>
      </c>
      <c r="O129">
        <v>0.72799999999999998</v>
      </c>
      <c r="P129">
        <v>0.5</v>
      </c>
      <c r="Q129">
        <v>0</v>
      </c>
      <c r="R129">
        <v>0</v>
      </c>
    </row>
  </sheetData>
  <sheetProtection algorithmName="SHA-512" hashValue="Hfpbeu17HFY++Lt/pWnfg80pDZ7dOBhKUVQTaY/eTTegCuAap8R77cdfItT51Knl2PTG2CInrkh1+tdnSuSZFg==" saltValue="i5couR4EFZPPFIEszLwPL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EBCE-0376-4A27-BE8F-4530E049D0E5}">
  <sheetPr codeName="Sheet30"/>
  <dimension ref="A1:B3"/>
  <sheetViews>
    <sheetView workbookViewId="0">
      <selection activeCell="E43" sqref="E43"/>
    </sheetView>
  </sheetViews>
  <sheetFormatPr defaultRowHeight="14.4" x14ac:dyDescent="0.3"/>
  <sheetData>
    <row r="1" spans="1:2" x14ac:dyDescent="0.3">
      <c r="A1" t="s">
        <v>831</v>
      </c>
    </row>
    <row r="3" spans="1:2" x14ac:dyDescent="0.3">
      <c r="A3" t="s">
        <v>390</v>
      </c>
      <c r="B3">
        <f t="array" ref="B3">_xlfn.IFS(THINSELECT!B3 = 0.35,0.25,THINSELECT!B3 = 0.45,0.35,1=1,0.45)</f>
        <v>0.45</v>
      </c>
    </row>
  </sheetData>
  <sheetProtection algorithmName="SHA-512" hashValue="Is4yM80qEJjouhFhI7mWQvhR+eYZoalnQFqaYdsnOYX+miQnrFEyKmLf8d6o1ODZKIqUJFtoL6ixnrd3I/smag==" saltValue="NTv+jEbJmNzg+XW9NE6p/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6726-F57E-409E-9B84-EEB160107CDC}">
  <sheetPr codeName="Sheet31"/>
  <dimension ref="A1:B67"/>
  <sheetViews>
    <sheetView workbookViewId="0">
      <selection activeCell="E43" sqref="E43"/>
    </sheetView>
  </sheetViews>
  <sheetFormatPr defaultRowHeight="14.4" x14ac:dyDescent="0.3"/>
  <cols>
    <col min="1" max="1" width="17" bestFit="1" customWidth="1"/>
    <col min="2" max="2" width="12" bestFit="1" customWidth="1"/>
  </cols>
  <sheetData>
    <row r="1" spans="1:2" x14ac:dyDescent="0.3">
      <c r="A1" t="s">
        <v>831</v>
      </c>
    </row>
    <row r="3" spans="1:2" x14ac:dyDescent="0.3">
      <c r="A3" t="s">
        <v>460</v>
      </c>
      <c r="B3">
        <f>(_xlfn.IFS('Ins&amp;Outs'!B24='generic tables'!B10,'Ins&amp;Outs'!B9,'Ins&amp;Outs'!B24='generic tables'!B11,'Ins&amp;Outs'!B9-'Ins&amp;Outs'!B15,'Ins&amp;Outs'!B24='generic tables'!B12,'Ins&amp;Outs'!B9-'Ins&amp;Outs'!B12-'Ins&amp;Outs'!B15)/('Ins&amp;Outs'!B6^3))^0.2</f>
        <v>0.89303744075058866</v>
      </c>
    </row>
    <row r="4" spans="1:2" x14ac:dyDescent="0.3">
      <c r="A4" t="s">
        <v>461</v>
      </c>
      <c r="B4">
        <f>_xlfn.IFS('Armor Data'!AM4 = 1,_xlfn.IFS('Projectile Data'!AQ4 = 2,0,'Projectile Data'!AP4 = 2,0.1,'Projectile Data'!AW4 = 2,0.1,1=1,0.2),'Armor Data'!AP4 = 1,_xlfn.IFS('Projectile Data'!AQ4 = 2,0,'Projectile Data'!AP4 = 2,0,'Projectile Data'!AW4 = 2,0,1=1,0.1),1=1,0)</f>
        <v>0</v>
      </c>
    </row>
    <row r="5" spans="1:2" x14ac:dyDescent="0.3">
      <c r="A5" t="s">
        <v>462</v>
      </c>
      <c r="B5">
        <f>IF(AND('Projectile Data'!AU4 &gt; 1,OR('Ins&amp;Outs'!B12 = 0,'Ins&amp;Outs'!B24 = 'generic tables'!B12)),1,'Projectile Data'!AU4-'main calculation sheet'!B36)</f>
        <v>1.02</v>
      </c>
    </row>
    <row r="6" spans="1:2" x14ac:dyDescent="0.3">
      <c r="A6" t="s">
        <v>464</v>
      </c>
      <c r="B6" s="1">
        <f>IF(B5&lt;1,B5+B4,B5)</f>
        <v>1.02</v>
      </c>
    </row>
    <row r="7" spans="1:2" x14ac:dyDescent="0.3">
      <c r="A7" t="s">
        <v>465</v>
      </c>
      <c r="B7">
        <f>IF(AND(B5&lt;1,ABS('main calculation sheet'!B28) = 1),GETPROJDWTWB!B7,1)</f>
        <v>1</v>
      </c>
    </row>
    <row r="8" spans="1:2" x14ac:dyDescent="0.3">
      <c r="A8" t="s">
        <v>463</v>
      </c>
      <c r="B8">
        <f>IF(AND(B5&lt;1,B6&gt;B7),B7,B6)</f>
        <v>1.02</v>
      </c>
    </row>
    <row r="10" spans="1:2" x14ac:dyDescent="0.3">
      <c r="A10" t="s">
        <v>466</v>
      </c>
      <c r="B10">
        <f>IF(AND('Projectile Data'!AU4 &gt; 1,OR('Ins&amp;Outs'!B12 = 0,'Ins&amp;Outs'!B24 = 'generic tables'!B12)),'Projectile Data'!AV4 * (1-('Projectile Data'!AU4 - 1)/'Projectile Data'!AU4),'Projectile Data'!AV4-'main calculation sheet'!B36)</f>
        <v>1.02</v>
      </c>
    </row>
    <row r="11" spans="1:2" x14ac:dyDescent="0.3">
      <c r="A11" t="s">
        <v>467</v>
      </c>
      <c r="B11">
        <f>IF(AND(B10&gt;0,B10&lt;1),B10+B4,B10)</f>
        <v>1.02</v>
      </c>
    </row>
    <row r="13" spans="1:2" x14ac:dyDescent="0.3">
      <c r="A13" t="s">
        <v>468</v>
      </c>
      <c r="B13">
        <f>('main calculation sheet'!B15/'Ins&amp;Outs'!B6)*'Ins&amp;Outs'!B30</f>
        <v>4.5136266666666671</v>
      </c>
    </row>
    <row r="15" spans="1:2" x14ac:dyDescent="0.3">
      <c r="A15" t="s">
        <v>469</v>
      </c>
    </row>
    <row r="16" spans="1:2" x14ac:dyDescent="0.3">
      <c r="A16" t="s">
        <v>462</v>
      </c>
      <c r="B16">
        <f>IF(AND('Ins&amp;Outs'!B21='Projectile Data'!B33,CALCBL!B4=0,CALCBL!B13&gt;32.175),0.94,B8)</f>
        <v>1.02</v>
      </c>
    </row>
    <row r="17" spans="1:2" x14ac:dyDescent="0.3">
      <c r="A17" t="s">
        <v>466</v>
      </c>
      <c r="B17">
        <f>IF(AND('Ins&amp;Outs'!B21='Projectile Data'!B33,CALCBL!B4=0,CALCBL!B13&gt;32.175),0.94,B11)</f>
        <v>1.02</v>
      </c>
    </row>
    <row r="19" spans="1:2" x14ac:dyDescent="0.3">
      <c r="A19" t="s">
        <v>476</v>
      </c>
      <c r="B19">
        <f>B16</f>
        <v>1.02</v>
      </c>
    </row>
    <row r="21" spans="1:2" x14ac:dyDescent="0.3">
      <c r="A21" t="s">
        <v>470</v>
      </c>
      <c r="B21">
        <f>0.0000019822 * 'Ins&amp;Outs'!B6 * SCALEFACTOR!B8 * B3</f>
        <v>2.1997528187742495E-3</v>
      </c>
    </row>
    <row r="23" spans="1:2" x14ac:dyDescent="0.3">
      <c r="A23" t="s">
        <v>471</v>
      </c>
      <c r="B23">
        <f>IF('Projectile Data'!AO4 &lt;=0,0,'Projectile Data'!AO4)</f>
        <v>15</v>
      </c>
    </row>
    <row r="24" spans="1:2" x14ac:dyDescent="0.3">
      <c r="A24" t="s">
        <v>472</v>
      </c>
      <c r="B24">
        <f>_xlfn.IFS(AND('Projectile Data'!AO4 &gt; 0,'Armor Data'!AM4 = 1,'Projectile Data'!AQ4 &lt; 2),'Projectile Data'!AO4 + 10,AND('Projectile Data'!AO4 &gt; 0,'Armor Data'!AP4 = 1),_xlfn.IFS('Projectile Data'!AP4 = 2,B23,'Projectile Data'!AQ4 = 2,B23,1=1,'Projectile Data'!AO4 + 5),1=1,B23)</f>
        <v>15</v>
      </c>
    </row>
    <row r="26" spans="1:2" x14ac:dyDescent="0.3">
      <c r="A26" t="s">
        <v>473</v>
      </c>
      <c r="B26">
        <f>IF('Projectile Data'!AW4 = 1,ABS('Projectile Data'!AO4),-1)</f>
        <v>-1</v>
      </c>
    </row>
    <row r="27" spans="1:2" x14ac:dyDescent="0.3">
      <c r="A27" t="s">
        <v>474</v>
      </c>
      <c r="B27" s="1">
        <f>IF(AND('Projectile Data'!AW4 = 1,OR('Armor Data'!AN4 = 0,'main calculation sheet'!B66 &gt; 0),'Armor Data'!AP4 = 0),IF('Armor Data'!AM4 = 1,B26+12,B26+6),B26)</f>
        <v>-1</v>
      </c>
    </row>
    <row r="29" spans="1:2" x14ac:dyDescent="0.3">
      <c r="A29" t="s">
        <v>475</v>
      </c>
      <c r="B29">
        <f>_xlfn.IFS(OR(AND(B19&lt;1,'main calculation sheet'!B28 &gt; 1),'main calculation sheet'!B28 = 0),1,ABS('main calculation sheet'!B28) = 1,GETPROJDWTWB!B7,1=1,B19)</f>
        <v>1.02</v>
      </c>
    </row>
    <row r="31" spans="1:2" x14ac:dyDescent="0.3">
      <c r="A31" t="s">
        <v>477</v>
      </c>
      <c r="B31">
        <f>IF(B19&gt;B29,B29,B19)</f>
        <v>1.02</v>
      </c>
    </row>
    <row r="33" spans="1:2" x14ac:dyDescent="0.3">
      <c r="A33" t="s">
        <v>478</v>
      </c>
      <c r="B33">
        <f>IF(OR(B17 &lt; 0,B17 &gt; B31),B31,B17)</f>
        <v>1.02</v>
      </c>
    </row>
    <row r="35" spans="1:2" x14ac:dyDescent="0.3">
      <c r="A35" t="s">
        <v>479</v>
      </c>
      <c r="B35">
        <f>IF('Projectile Data'!AS4 = 2,B31*(1 - PROJQMODS!B8),B31)</f>
        <v>1.02</v>
      </c>
    </row>
    <row r="36" spans="1:2" x14ac:dyDescent="0.3">
      <c r="A36" t="s">
        <v>480</v>
      </c>
      <c r="B36">
        <f>IF(B35&lt;0.095,0.095,B35)</f>
        <v>1.02</v>
      </c>
    </row>
    <row r="37" spans="1:2" x14ac:dyDescent="0.3">
      <c r="A37" t="s">
        <v>481</v>
      </c>
      <c r="B37">
        <f>IF(B36&gt;B41,B41,B36)</f>
        <v>1</v>
      </c>
    </row>
    <row r="38" spans="1:2" x14ac:dyDescent="0.3">
      <c r="A38" t="s">
        <v>482</v>
      </c>
      <c r="B38">
        <f>IF(OR('Projectile Data'!AS4 &gt; 0,'Projectile Data'!AP4 &gt; 0),B37,1)</f>
        <v>1</v>
      </c>
    </row>
    <row r="39" spans="1:2" x14ac:dyDescent="0.3">
      <c r="A39" t="s">
        <v>483</v>
      </c>
      <c r="B39">
        <f>IF(AND('Projectile Data'!AW4 = 1,B38 &lt; 1),_xlfn.IFS('Ins&amp;Outs'!B30 &gt;= 30,B41,AND('Ins&amp;Outs'!B30 &gt; 15,'Ins&amp;Outs'!B30 &lt; 30),B38+(B41-B38)*('Ins&amp;Outs'!B30-15)/15,1=1,B38),B38)</f>
        <v>1</v>
      </c>
    </row>
    <row r="40" spans="1:2" x14ac:dyDescent="0.3">
      <c r="A40" t="s">
        <v>484</v>
      </c>
      <c r="B40">
        <f>IF(AND(ABS('Projectile Data'!AR4) = 1,OR('Ins&amp;Outs'!B12 &gt; 0,'Ins&amp;Outs'!B15 &gt; 0)),GETPROJDWTWB!B7,1)</f>
        <v>1</v>
      </c>
    </row>
    <row r="41" spans="1:2" x14ac:dyDescent="0.3">
      <c r="A41" t="s">
        <v>485</v>
      </c>
      <c r="B41">
        <f>IF(OR('Projectile Data'!AS4 &gt; 0,'Projectile Data'!AP4 &gt; 0),B40,1)</f>
        <v>1</v>
      </c>
    </row>
    <row r="43" spans="1:2" x14ac:dyDescent="0.3">
      <c r="A43" t="s">
        <v>486</v>
      </c>
      <c r="B43" s="1">
        <f>INT(('main calculation sheet'!B26 * SETOBMULT!B3 / (B21 * B29))^INITVALHDR!B3)</f>
        <v>6238</v>
      </c>
    </row>
    <row r="45" spans="1:2" x14ac:dyDescent="0.3">
      <c r="A45" t="s">
        <v>487</v>
      </c>
      <c r="B45">
        <f>IF('Ins&amp;Outs'!B30 &lt;= 45,1/(1-CALCVDF!B3),1/(1-CALCVDF!B3 * COS(2*('Ins&amp;Outs'!B30 - 45)/57.29578)^8))</f>
        <v>1.0001527233984775</v>
      </c>
    </row>
    <row r="47" spans="1:2" x14ac:dyDescent="0.3">
      <c r="A47" t="s">
        <v>376</v>
      </c>
      <c r="B47">
        <f>INT(('main calculation sheet'!B26 * SHTRMULTSELECT!B5 *SETOBMULT!B4 / (B21 * B41))^INITVALHDR!B3)</f>
        <v>239</v>
      </c>
    </row>
    <row r="49" spans="1:2" x14ac:dyDescent="0.3">
      <c r="A49" t="s">
        <v>488</v>
      </c>
      <c r="B49">
        <f>INT(B45 * B47)</f>
        <v>239</v>
      </c>
    </row>
    <row r="51" spans="1:2" x14ac:dyDescent="0.3">
      <c r="A51" t="s">
        <v>489</v>
      </c>
      <c r="B51">
        <f>INT(('main calculation sheet'!B26 * SHTRMULTSELECT!B5 * SETOBMULT!B4 / (B21 * B39))^INITVALHDR!B3)</f>
        <v>239</v>
      </c>
    </row>
    <row r="52" spans="1:2" x14ac:dyDescent="0.3">
      <c r="A52" t="s">
        <v>490</v>
      </c>
      <c r="B52">
        <f>IF(ABS(B51-B47) &lt;= 1,B47,B51)</f>
        <v>239</v>
      </c>
    </row>
    <row r="54" spans="1:2" x14ac:dyDescent="0.3">
      <c r="A54" t="s">
        <v>491</v>
      </c>
      <c r="B54">
        <f>INT(B45 * B52)</f>
        <v>239</v>
      </c>
    </row>
    <row r="56" spans="1:2" x14ac:dyDescent="0.3">
      <c r="A56" t="s">
        <v>495</v>
      </c>
      <c r="B56">
        <f>('main calculation sheet'!B26 * SETOBMULT!B3 / (CALCBL!B21 * CALCBL!B31 * PROJQMODS!B10))^INITVALHDR!B3</f>
        <v>6238.2450218099575</v>
      </c>
    </row>
    <row r="58" spans="1:2" x14ac:dyDescent="0.3">
      <c r="A58" t="s">
        <v>493</v>
      </c>
      <c r="B58">
        <f>IF(AND('Projectile Data'!AU4 &lt; 0.85,OR(AND('Armor Data'!AN4 &lt;&gt; 1,'Armor Data'!AM4 = 0,'Armor Data'!AP4 = 0),AND('Armor Data'!AM4 = 1,B4 &lt; 0.2),AND('Armor Data'!AP4 = 1,B4 &lt; 0.1))),1,0)</f>
        <v>0</v>
      </c>
    </row>
    <row r="59" spans="1:2" x14ac:dyDescent="0.3">
      <c r="A59" t="s">
        <v>494</v>
      </c>
      <c r="B59">
        <f>IF('Projectile Data'!AU4 &lt; 0.85,((SETOBMULT!B4 / SETOBMULT!B3)^INITVALHDR!B3) * B56,B56)</f>
        <v>6238.2450218099575</v>
      </c>
    </row>
    <row r="61" spans="1:2" x14ac:dyDescent="0.3">
      <c r="A61" t="s">
        <v>496</v>
      </c>
      <c r="B61">
        <f>INT(B56)</f>
        <v>6238</v>
      </c>
    </row>
    <row r="62" spans="1:2" x14ac:dyDescent="0.3">
      <c r="A62" t="s">
        <v>497</v>
      </c>
      <c r="B62">
        <f>IF(ABS(B61-B43) &lt;= 1,B43,B61)</f>
        <v>6238</v>
      </c>
    </row>
    <row r="64" spans="1:2" x14ac:dyDescent="0.3">
      <c r="A64" t="s">
        <v>498</v>
      </c>
      <c r="B64">
        <f>IF(AND(B31 = B33,'Projectile Data'!AO4 &lt;&gt; 0),-1,INT(('main calculation sheet'!B26 * SETOBMULT!B3 / (B21 * B33 * PROJQMODS!B12))^INITVALHDR!B3))</f>
        <v>-1</v>
      </c>
    </row>
    <row r="65" spans="1:2" x14ac:dyDescent="0.3">
      <c r="A65" t="s">
        <v>499</v>
      </c>
      <c r="B65">
        <f>IF(AND(B31 = B33,'Projectile Data'!AO4 &lt;&gt; 0),B64,IF(B64 &lt;B62,B62,B64))</f>
        <v>-1</v>
      </c>
    </row>
    <row r="67" spans="1:2" x14ac:dyDescent="0.3">
      <c r="A67" t="s">
        <v>500</v>
      </c>
      <c r="B67">
        <f>TRUNC(MODIFYVDF!B24/(1-0.83*CALCVDF!B3))</f>
        <v>266</v>
      </c>
    </row>
  </sheetData>
  <sheetProtection algorithmName="SHA-512" hashValue="TApX1UDhqd13ggWLKSns94c5IDoQqourA7Wmxi/3C5XMrwYZqu2O1GEDwSK9ZWhbmWB+AzUSrle2ACnk/rx6Ag==" saltValue="Me86MOISvcf6HMBwQ/BAf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BA516-1496-462C-9155-1676C24C17F3}">
  <sheetPr codeName="Sheet32"/>
  <dimension ref="A1:W114"/>
  <sheetViews>
    <sheetView zoomScale="70" zoomScaleNormal="70" workbookViewId="0">
      <selection activeCell="E43" sqref="E43"/>
    </sheetView>
  </sheetViews>
  <sheetFormatPr defaultRowHeight="14.4" x14ac:dyDescent="0.3"/>
  <cols>
    <col min="1" max="1" width="13.6640625" bestFit="1" customWidth="1"/>
    <col min="3" max="3" width="7.88671875" bestFit="1" customWidth="1"/>
    <col min="4" max="4" width="9.5546875" bestFit="1" customWidth="1"/>
    <col min="5" max="6" width="9.5546875" customWidth="1"/>
    <col min="7" max="8" width="7.88671875" customWidth="1"/>
    <col min="9" max="9" width="8.44140625" bestFit="1" customWidth="1"/>
    <col min="10" max="10" width="9.5546875" bestFit="1" customWidth="1"/>
    <col min="11" max="11" width="8.44140625" bestFit="1" customWidth="1"/>
    <col min="12" max="12" width="9.5546875" bestFit="1" customWidth="1"/>
    <col min="13" max="13" width="9" bestFit="1" customWidth="1"/>
    <col min="15" max="15" width="9.5546875" bestFit="1" customWidth="1"/>
    <col min="16" max="23" width="4" customWidth="1"/>
  </cols>
  <sheetData>
    <row r="1" spans="1:2" x14ac:dyDescent="0.3">
      <c r="A1" t="s">
        <v>831</v>
      </c>
    </row>
    <row r="3" spans="1:2" x14ac:dyDescent="0.3">
      <c r="A3" t="s">
        <v>502</v>
      </c>
    </row>
    <row r="4" spans="1:2" x14ac:dyDescent="0.3">
      <c r="A4" t="s">
        <v>503</v>
      </c>
      <c r="B4">
        <v>2</v>
      </c>
    </row>
    <row r="5" spans="1:2" x14ac:dyDescent="0.3">
      <c r="A5" t="s">
        <v>320</v>
      </c>
      <c r="B5">
        <v>0</v>
      </c>
    </row>
    <row r="6" spans="1:2" x14ac:dyDescent="0.3">
      <c r="A6" t="s">
        <v>504</v>
      </c>
      <c r="B6">
        <v>0</v>
      </c>
    </row>
    <row r="7" spans="1:2" x14ac:dyDescent="0.3">
      <c r="A7" t="s">
        <v>326</v>
      </c>
      <c r="B7">
        <v>0</v>
      </c>
    </row>
    <row r="8" spans="1:2" x14ac:dyDescent="0.3">
      <c r="A8" t="s">
        <v>366</v>
      </c>
      <c r="B8">
        <v>0</v>
      </c>
    </row>
    <row r="9" spans="1:2" x14ac:dyDescent="0.3">
      <c r="A9" t="s">
        <v>367</v>
      </c>
      <c r="B9">
        <v>0</v>
      </c>
    </row>
    <row r="10" spans="1:2" x14ac:dyDescent="0.3">
      <c r="A10" t="s">
        <v>364</v>
      </c>
      <c r="B10">
        <v>0</v>
      </c>
    </row>
    <row r="11" spans="1:2" x14ac:dyDescent="0.3">
      <c r="A11" t="s">
        <v>506</v>
      </c>
      <c r="B11">
        <v>0</v>
      </c>
    </row>
    <row r="14" spans="1:2" x14ac:dyDescent="0.3">
      <c r="A14" t="s">
        <v>505</v>
      </c>
      <c r="B14">
        <f>IF(AND(IF('Ins&amp;Outs'!F24 = 'generic tables'!B2,TRUE,FALSE),'Ins&amp;Outs'!B30 &gt; 45,'Projectile Data'!AQ4 &lt; 2),1,0)</f>
        <v>0</v>
      </c>
    </row>
    <row r="16" spans="1:2" x14ac:dyDescent="0.3">
      <c r="A16" t="s">
        <v>507</v>
      </c>
      <c r="B16">
        <f>IF('Ins&amp;Outs'!B30 &lt;= 15,'Ins&amp;Outs'!B30,15)</f>
        <v>15</v>
      </c>
    </row>
    <row r="17" spans="1:11" x14ac:dyDescent="0.3">
      <c r="A17" t="s">
        <v>508</v>
      </c>
      <c r="B17">
        <f>IF(AND('main calculation sheet'!B57=1,'main calculation sheet'!B28&lt;&gt;2,'Ins&amp;Outs'!B27&gt;=MODIFYVDF!B24),0,B16)</f>
        <v>15</v>
      </c>
    </row>
    <row r="19" spans="1:11" x14ac:dyDescent="0.3">
      <c r="A19" t="s">
        <v>509</v>
      </c>
      <c r="B19">
        <f>IF(('Ins&amp;Outs'!B30-B17) &gt; 45,45,'Ins&amp;Outs'!B30-B17)</f>
        <v>45</v>
      </c>
    </row>
    <row r="21" spans="1:11" x14ac:dyDescent="0.3">
      <c r="A21" t="s">
        <v>510</v>
      </c>
      <c r="B21">
        <f>B19/57.29578</f>
        <v>0.78539815672288604</v>
      </c>
    </row>
    <row r="23" spans="1:11" x14ac:dyDescent="0.3">
      <c r="A23" t="s">
        <v>511</v>
      </c>
      <c r="B23">
        <f>SIN(B21)*COS(B21)</f>
        <v>0.49999999999999989</v>
      </c>
    </row>
    <row r="25" spans="1:11" x14ac:dyDescent="0.3">
      <c r="I25" t="s">
        <v>383</v>
      </c>
      <c r="K25">
        <f>CALCBL!B62</f>
        <v>6238</v>
      </c>
    </row>
    <row r="26" spans="1:11" x14ac:dyDescent="0.3">
      <c r="I26" t="s">
        <v>380</v>
      </c>
      <c r="K26">
        <f>MODIFYVDF!B29</f>
        <v>5453</v>
      </c>
    </row>
    <row r="27" spans="1:11" x14ac:dyDescent="0.3">
      <c r="I27" t="s">
        <v>627</v>
      </c>
      <c r="K27">
        <f>CALCBL!B65</f>
        <v>-1</v>
      </c>
    </row>
    <row r="28" spans="1:11" x14ac:dyDescent="0.3">
      <c r="I28" t="s">
        <v>491</v>
      </c>
      <c r="K28">
        <f>CALCBL!B54</f>
        <v>239</v>
      </c>
    </row>
    <row r="29" spans="1:11" x14ac:dyDescent="0.3">
      <c r="I29" t="s">
        <v>375</v>
      </c>
      <c r="K29">
        <f>MODIFYVDF!B24</f>
        <v>239</v>
      </c>
    </row>
    <row r="30" spans="1:11" x14ac:dyDescent="0.3">
      <c r="I30" t="s">
        <v>488</v>
      </c>
      <c r="K30">
        <f>CALCBL!B49</f>
        <v>239</v>
      </c>
    </row>
    <row r="31" spans="1:11" x14ac:dyDescent="0.3">
      <c r="I31" t="s">
        <v>376</v>
      </c>
      <c r="K31">
        <f>MODIFYVDF!B25</f>
        <v>239</v>
      </c>
    </row>
    <row r="32" spans="1:11" x14ac:dyDescent="0.3">
      <c r="I32" t="s">
        <v>486</v>
      </c>
      <c r="K32">
        <f>CALCBL!B43</f>
        <v>6238</v>
      </c>
    </row>
    <row r="33" spans="1:23" x14ac:dyDescent="0.3">
      <c r="I33" t="s">
        <v>374</v>
      </c>
      <c r="K33">
        <f>MODIFYVDF!B23</f>
        <v>5453</v>
      </c>
    </row>
    <row r="34" spans="1:23" x14ac:dyDescent="0.3">
      <c r="I34" t="s">
        <v>500</v>
      </c>
      <c r="K34">
        <f>CALCBL!B67</f>
        <v>266</v>
      </c>
    </row>
    <row r="36" spans="1:23" x14ac:dyDescent="0.3">
      <c r="A36" t="s">
        <v>554</v>
      </c>
      <c r="I36" t="s">
        <v>512</v>
      </c>
      <c r="J36" t="s">
        <v>367</v>
      </c>
      <c r="K36" t="s">
        <v>513</v>
      </c>
      <c r="L36" t="s">
        <v>366</v>
      </c>
      <c r="M36" t="s">
        <v>506</v>
      </c>
      <c r="N36" t="s">
        <v>514</v>
      </c>
      <c r="O36" t="s">
        <v>515</v>
      </c>
      <c r="P36" t="s">
        <v>604</v>
      </c>
      <c r="Q36" t="s">
        <v>605</v>
      </c>
      <c r="R36" t="s">
        <v>607</v>
      </c>
      <c r="S36" t="s">
        <v>610</v>
      </c>
      <c r="T36" t="s">
        <v>608</v>
      </c>
      <c r="U36" t="s">
        <v>603</v>
      </c>
      <c r="V36" t="s">
        <v>606</v>
      </c>
      <c r="W36" t="s">
        <v>609</v>
      </c>
    </row>
    <row r="37" spans="1:23" x14ac:dyDescent="0.3">
      <c r="A37">
        <v>994</v>
      </c>
      <c r="B37" t="b">
        <f>IF(OR('main calculation sheet'!B57 = 0,AND('main calculation sheet'!B57 = 1,'main calculation sheet'!B28 = 2)),TRUE,FALSE)</f>
        <v>1</v>
      </c>
      <c r="J37">
        <v>0</v>
      </c>
      <c r="L37">
        <v>0</v>
      </c>
      <c r="P37" t="str">
        <f>""</f>
        <v/>
      </c>
      <c r="Q37" t="str">
        <f>""</f>
        <v/>
      </c>
      <c r="R37" t="str">
        <f>""</f>
        <v/>
      </c>
      <c r="S37" t="str">
        <f>""</f>
        <v/>
      </c>
      <c r="T37" t="str">
        <f>""</f>
        <v/>
      </c>
      <c r="U37" t="str">
        <f>""</f>
        <v/>
      </c>
      <c r="V37" t="str">
        <f>""</f>
        <v/>
      </c>
      <c r="W37" t="str">
        <f>""</f>
        <v/>
      </c>
    </row>
    <row r="38" spans="1:23" x14ac:dyDescent="0.3">
      <c r="A38">
        <v>998</v>
      </c>
      <c r="C38" t="b">
        <f>IF(AND(B37=TRUE,'main calculation sheet'!B57 = 1),TRUE,FALSE)</f>
        <v>0</v>
      </c>
      <c r="I38">
        <f>IF(C38=TRUE,K28,I37)</f>
        <v>0</v>
      </c>
      <c r="J38">
        <f>IF(C38=TRUE,K28,J37)</f>
        <v>0</v>
      </c>
      <c r="K38">
        <f>IF(C38=TRUE,K26,K37)</f>
        <v>0</v>
      </c>
      <c r="L38">
        <f>IF($C38=TRUE,K26,L37)</f>
        <v>0</v>
      </c>
      <c r="M38">
        <f>M37</f>
        <v>0</v>
      </c>
      <c r="N38">
        <f t="shared" ref="N38:O42" si="0">N37</f>
        <v>0</v>
      </c>
      <c r="O38">
        <f t="shared" si="0"/>
        <v>0</v>
      </c>
      <c r="P38" t="str">
        <f>IF($C38=TRUE,"!#",P37)</f>
        <v/>
      </c>
      <c r="Q38" t="str">
        <f t="shared" ref="Q38:T39" si="1">Q37</f>
        <v/>
      </c>
      <c r="R38" t="str">
        <f t="shared" si="1"/>
        <v/>
      </c>
      <c r="S38" t="str">
        <f t="shared" si="1"/>
        <v/>
      </c>
      <c r="T38" t="str">
        <f t="shared" si="1"/>
        <v/>
      </c>
      <c r="U38" t="str">
        <f>IF($C38=TRUE,"!#",U37)</f>
        <v/>
      </c>
      <c r="V38" t="str">
        <f t="shared" ref="V38:W46" si="2">V37</f>
        <v/>
      </c>
      <c r="W38" t="str">
        <f t="shared" si="2"/>
        <v/>
      </c>
    </row>
    <row r="39" spans="1:23" x14ac:dyDescent="0.3">
      <c r="A39">
        <v>1004</v>
      </c>
      <c r="D39" t="b">
        <f>IF(AND(C38=TRUE,K38 &gt;= MODIFYVDF!B24),TRUE,FALSE)</f>
        <v>0</v>
      </c>
      <c r="I39">
        <f t="shared" ref="I39:J40" si="3">I38</f>
        <v>0</v>
      </c>
      <c r="J39">
        <f t="shared" si="3"/>
        <v>0</v>
      </c>
      <c r="K39">
        <f>IF($D39=TRUE,K29,K38)</f>
        <v>0</v>
      </c>
      <c r="L39">
        <f>IF($D39=TRUE,K29,L38)</f>
        <v>0</v>
      </c>
      <c r="M39">
        <f t="shared" ref="M39:M41" si="4">M38</f>
        <v>0</v>
      </c>
      <c r="N39">
        <f t="shared" si="0"/>
        <v>0</v>
      </c>
      <c r="O39">
        <f t="shared" si="0"/>
        <v>0</v>
      </c>
      <c r="P39" t="str">
        <f>IF($D39=TRUE,"",P38)</f>
        <v/>
      </c>
      <c r="Q39" t="str">
        <f>IF($D39=TRUE,"!#",Q38)</f>
        <v/>
      </c>
      <c r="R39" t="str">
        <f t="shared" si="1"/>
        <v/>
      </c>
      <c r="S39" t="str">
        <f t="shared" si="1"/>
        <v/>
      </c>
      <c r="T39" t="str">
        <f t="shared" si="1"/>
        <v/>
      </c>
      <c r="U39" t="str">
        <f t="shared" ref="U39" si="5">U38</f>
        <v/>
      </c>
      <c r="V39" t="str">
        <f t="shared" si="2"/>
        <v/>
      </c>
      <c r="W39" t="str">
        <f t="shared" si="2"/>
        <v/>
      </c>
    </row>
    <row r="40" spans="1:23" x14ac:dyDescent="0.3">
      <c r="A40">
        <v>1008</v>
      </c>
      <c r="D40" t="b">
        <f>IF(AND(C38=TRUE,MODIFYVDF!B24 = CALCBL!B49),TRUE,FALSE)</f>
        <v>0</v>
      </c>
      <c r="I40">
        <f t="shared" si="3"/>
        <v>0</v>
      </c>
      <c r="J40">
        <f t="shared" si="3"/>
        <v>0</v>
      </c>
      <c r="K40">
        <f t="shared" ref="K40:K41" si="6">K39</f>
        <v>0</v>
      </c>
      <c r="L40">
        <f t="shared" ref="L40:L41" si="7">L39</f>
        <v>0</v>
      </c>
      <c r="M40">
        <f t="shared" si="4"/>
        <v>0</v>
      </c>
      <c r="N40">
        <f t="shared" si="0"/>
        <v>0</v>
      </c>
      <c r="O40">
        <f t="shared" si="0"/>
        <v>0</v>
      </c>
      <c r="P40" t="str">
        <f t="shared" ref="P40:P41" si="8">P39</f>
        <v/>
      </c>
      <c r="Q40" t="str">
        <f t="shared" ref="Q40" si="9">Q39</f>
        <v/>
      </c>
      <c r="R40" t="str">
        <f t="shared" ref="R40" si="10">R39</f>
        <v/>
      </c>
      <c r="S40" t="str">
        <f t="shared" ref="S40:S46" si="11">S39</f>
        <v/>
      </c>
      <c r="T40" t="str">
        <f t="shared" ref="T40:T41" si="12">T39</f>
        <v/>
      </c>
      <c r="U40" t="str">
        <f>IF($D40=TRUE,"",U39)</f>
        <v/>
      </c>
      <c r="V40" t="str">
        <f>IF($D40=TRUE,"!#",V39)</f>
        <v/>
      </c>
      <c r="W40" t="str">
        <f t="shared" si="2"/>
        <v/>
      </c>
    </row>
    <row r="41" spans="1:23" x14ac:dyDescent="0.3">
      <c r="A41">
        <v>1011</v>
      </c>
      <c r="E41" t="b">
        <f>IF(AND(D40=TRUE,Q40="!#"),TRUE,FALSE)</f>
        <v>0</v>
      </c>
      <c r="I41">
        <f t="shared" ref="I41" si="13">I40</f>
        <v>0</v>
      </c>
      <c r="J41">
        <f t="shared" ref="J41" si="14">J40</f>
        <v>0</v>
      </c>
      <c r="K41">
        <f t="shared" si="6"/>
        <v>0</v>
      </c>
      <c r="L41">
        <f t="shared" si="7"/>
        <v>0</v>
      </c>
      <c r="M41">
        <f t="shared" si="4"/>
        <v>0</v>
      </c>
      <c r="N41">
        <f t="shared" si="0"/>
        <v>0</v>
      </c>
      <c r="O41">
        <f t="shared" si="0"/>
        <v>0</v>
      </c>
      <c r="P41" t="str">
        <f t="shared" si="8"/>
        <v/>
      </c>
      <c r="Q41" t="str">
        <f>IF($E41=TRUE,"",Q40)</f>
        <v/>
      </c>
      <c r="R41" t="str">
        <f>IF($E41=TRUE,"!#",R40)</f>
        <v/>
      </c>
      <c r="S41" t="str">
        <f t="shared" si="11"/>
        <v/>
      </c>
      <c r="T41" t="str">
        <f t="shared" si="12"/>
        <v/>
      </c>
      <c r="U41" t="str">
        <f t="shared" ref="U41:U53" si="15">U40</f>
        <v/>
      </c>
      <c r="V41" t="str">
        <f t="shared" ref="V41:V53" si="16">V40</f>
        <v/>
      </c>
      <c r="W41" t="str">
        <f t="shared" si="2"/>
        <v/>
      </c>
    </row>
    <row r="42" spans="1:23" x14ac:dyDescent="0.3">
      <c r="A42">
        <v>1013</v>
      </c>
      <c r="C42" t="b">
        <f>IF(AND(B37=TRUE,'main calculation sheet'!B57 &lt;&gt; 1),TRUE,FALSE)</f>
        <v>1</v>
      </c>
      <c r="I42">
        <f>IF($C42=TRUE,K25,I41)</f>
        <v>6238</v>
      </c>
      <c r="J42">
        <f>IF(C42=TRUE,K25,J41)</f>
        <v>6238</v>
      </c>
      <c r="K42">
        <f>IF($C42=TRUE,K26,K41)</f>
        <v>5453</v>
      </c>
      <c r="L42">
        <f>IF($C42=TRUE,K26,L41)</f>
        <v>5453</v>
      </c>
      <c r="M42">
        <f t="shared" ref="M42" si="17">M41</f>
        <v>0</v>
      </c>
      <c r="N42">
        <f t="shared" si="0"/>
        <v>0</v>
      </c>
      <c r="O42">
        <f t="shared" si="0"/>
        <v>0</v>
      </c>
      <c r="P42" t="str">
        <f>IF($C42=TRUE,"!#",P41)</f>
        <v>!#</v>
      </c>
      <c r="Q42" t="str">
        <f t="shared" ref="Q42:Q53" si="18">Q41</f>
        <v/>
      </c>
      <c r="R42" t="str">
        <f t="shared" ref="R42:R53" si="19">R41</f>
        <v/>
      </c>
      <c r="S42" t="str">
        <f t="shared" si="11"/>
        <v/>
      </c>
      <c r="T42" t="str">
        <f>IF($C42=TRUE,"!#",T41)</f>
        <v>!#</v>
      </c>
      <c r="U42" t="str">
        <f t="shared" si="15"/>
        <v/>
      </c>
      <c r="V42" t="str">
        <f t="shared" si="16"/>
        <v/>
      </c>
      <c r="W42" t="str">
        <f t="shared" si="2"/>
        <v/>
      </c>
    </row>
    <row r="43" spans="1:23" x14ac:dyDescent="0.3">
      <c r="A43">
        <v>1019</v>
      </c>
      <c r="D43" t="b">
        <f>IF(AND(C42=TRUE,'Projectile Data'!AW4 = 1,'Projectile Data'!AX4 = 0,'Ins&amp;Outs'!B30 &gt;= CALCBL!B27),TRUE,FALSE)</f>
        <v>0</v>
      </c>
      <c r="I43">
        <f t="shared" ref="I43:I44" si="20">I42</f>
        <v>6238</v>
      </c>
      <c r="J43">
        <f t="shared" ref="J43:J46" si="21">J42</f>
        <v>6238</v>
      </c>
      <c r="K43">
        <f t="shared" ref="K43:K46" si="22">K42</f>
        <v>5453</v>
      </c>
      <c r="L43">
        <f t="shared" ref="L43:L46" si="23">L42</f>
        <v>5453</v>
      </c>
      <c r="M43">
        <f>IF(D43=TRUE,9999,M42)</f>
        <v>0</v>
      </c>
      <c r="N43">
        <f t="shared" ref="N43" si="24">N42</f>
        <v>0</v>
      </c>
      <c r="O43">
        <f t="shared" ref="O43:O54" si="25">O42</f>
        <v>0</v>
      </c>
      <c r="P43" t="str">
        <f t="shared" ref="P43:P46" si="26">P42</f>
        <v>!#</v>
      </c>
      <c r="Q43" t="str">
        <f t="shared" si="18"/>
        <v/>
      </c>
      <c r="R43" t="str">
        <f t="shared" si="19"/>
        <v/>
      </c>
      <c r="S43" t="str">
        <f t="shared" si="11"/>
        <v/>
      </c>
      <c r="T43" t="str">
        <f t="shared" ref="T43:T46" si="27">T42</f>
        <v>!#</v>
      </c>
      <c r="U43" t="str">
        <f t="shared" si="15"/>
        <v/>
      </c>
      <c r="V43" t="str">
        <f t="shared" si="16"/>
        <v/>
      </c>
      <c r="W43" t="str">
        <f t="shared" si="2"/>
        <v/>
      </c>
    </row>
    <row r="44" spans="1:23" x14ac:dyDescent="0.3">
      <c r="A44">
        <v>1022</v>
      </c>
      <c r="D44" t="b">
        <f>IF(AND(C42=TRUE,D43=FALSE,'Projectile Data'!AX4 = 1,'Ins&amp;Outs'!B30 &gt;= CALCBL!B27),TRUE,FALSE)</f>
        <v>0</v>
      </c>
      <c r="I44">
        <f t="shared" si="20"/>
        <v>6238</v>
      </c>
      <c r="J44">
        <f t="shared" si="21"/>
        <v>6238</v>
      </c>
      <c r="K44">
        <f t="shared" si="22"/>
        <v>5453</v>
      </c>
      <c r="L44">
        <f t="shared" si="23"/>
        <v>5453</v>
      </c>
      <c r="M44">
        <f>IF(D44=TRUE,K34,M43)</f>
        <v>0</v>
      </c>
      <c r="N44">
        <f t="shared" ref="N44:N46" si="28">N43</f>
        <v>0</v>
      </c>
      <c r="O44">
        <f t="shared" si="25"/>
        <v>0</v>
      </c>
      <c r="P44" t="str">
        <f t="shared" si="26"/>
        <v>!#</v>
      </c>
      <c r="Q44" t="str">
        <f t="shared" si="18"/>
        <v/>
      </c>
      <c r="R44" t="str">
        <f t="shared" si="19"/>
        <v/>
      </c>
      <c r="S44" t="str">
        <f t="shared" si="11"/>
        <v/>
      </c>
      <c r="T44" t="str">
        <f t="shared" si="27"/>
        <v>!#</v>
      </c>
      <c r="U44" t="str">
        <f t="shared" si="15"/>
        <v/>
      </c>
      <c r="V44" t="str">
        <f t="shared" si="16"/>
        <v/>
      </c>
      <c r="W44" t="str">
        <f t="shared" si="2"/>
        <v/>
      </c>
    </row>
    <row r="45" spans="1:23" x14ac:dyDescent="0.3">
      <c r="A45">
        <v>1025</v>
      </c>
      <c r="D45" t="b">
        <f>IF(AND(C42=TRUE,D43=FALSE,D44=FALSE,'Projectile Data'!AW4 = 1,'Ins&amp;Outs'!B30 &lt; CALCBL!B27),TRUE,FALSE)</f>
        <v>0</v>
      </c>
      <c r="I45">
        <f t="shared" ref="I45" si="29">I44</f>
        <v>6238</v>
      </c>
      <c r="J45">
        <f t="shared" si="21"/>
        <v>6238</v>
      </c>
      <c r="K45">
        <f t="shared" si="22"/>
        <v>5453</v>
      </c>
      <c r="L45">
        <f t="shared" si="23"/>
        <v>5453</v>
      </c>
      <c r="M45">
        <f>IF(D45=TRUE,0,M43)</f>
        <v>0</v>
      </c>
      <c r="N45">
        <f t="shared" si="28"/>
        <v>0</v>
      </c>
      <c r="O45">
        <f t="shared" si="25"/>
        <v>0</v>
      </c>
      <c r="P45" t="str">
        <f t="shared" si="26"/>
        <v>!#</v>
      </c>
      <c r="Q45" t="str">
        <f t="shared" si="18"/>
        <v/>
      </c>
      <c r="R45" t="str">
        <f t="shared" si="19"/>
        <v/>
      </c>
      <c r="S45" t="str">
        <f t="shared" si="11"/>
        <v/>
      </c>
      <c r="T45" t="str">
        <f t="shared" si="27"/>
        <v>!#</v>
      </c>
      <c r="U45" t="str">
        <f t="shared" si="15"/>
        <v/>
      </c>
      <c r="V45" t="str">
        <f t="shared" si="16"/>
        <v/>
      </c>
      <c r="W45" t="str">
        <f t="shared" si="2"/>
        <v/>
      </c>
    </row>
    <row r="46" spans="1:23" x14ac:dyDescent="0.3">
      <c r="A46">
        <v>1028</v>
      </c>
      <c r="D46" t="b">
        <f>IF(AND(C42=TRUE,D43=FALSE,D44=FALSE,D45=FALSE),TRUE,FALSE)</f>
        <v>1</v>
      </c>
      <c r="I46">
        <f t="shared" ref="I46" si="30">I45</f>
        <v>6238</v>
      </c>
      <c r="J46">
        <f t="shared" si="21"/>
        <v>6238</v>
      </c>
      <c r="K46">
        <f t="shared" si="22"/>
        <v>5453</v>
      </c>
      <c r="L46">
        <f t="shared" si="23"/>
        <v>5453</v>
      </c>
      <c r="M46">
        <f>IF(D46=TRUE,0,M45)</f>
        <v>0</v>
      </c>
      <c r="N46">
        <f t="shared" si="28"/>
        <v>0</v>
      </c>
      <c r="O46">
        <f t="shared" si="25"/>
        <v>0</v>
      </c>
      <c r="P46" t="str">
        <f t="shared" si="26"/>
        <v>!#</v>
      </c>
      <c r="Q46" t="str">
        <f t="shared" si="18"/>
        <v/>
      </c>
      <c r="R46" t="str">
        <f t="shared" si="19"/>
        <v/>
      </c>
      <c r="S46" t="str">
        <f t="shared" si="11"/>
        <v/>
      </c>
      <c r="T46" t="str">
        <f t="shared" si="27"/>
        <v>!#</v>
      </c>
      <c r="U46" t="str">
        <f t="shared" si="15"/>
        <v/>
      </c>
      <c r="V46" t="str">
        <f t="shared" si="16"/>
        <v/>
      </c>
      <c r="W46" t="str">
        <f t="shared" si="2"/>
        <v/>
      </c>
    </row>
    <row r="47" spans="1:23" x14ac:dyDescent="0.3">
      <c r="A47">
        <v>1032</v>
      </c>
      <c r="D47" t="b">
        <f>IF(AND(C42=TRUE,CALCBL!B62 = CALCBL!B43),TRUE,FALSE)</f>
        <v>1</v>
      </c>
      <c r="I47">
        <f>IF($D47=TRUE,$K32,I46)</f>
        <v>6238</v>
      </c>
      <c r="J47">
        <f>IF($D47=TRUE,$K32,J46)</f>
        <v>6238</v>
      </c>
      <c r="K47">
        <f>IF($D47=TRUE,$K33,K46)</f>
        <v>5453</v>
      </c>
      <c r="L47">
        <f>IF($D47=TRUE,$K33,L46)</f>
        <v>5453</v>
      </c>
      <c r="M47">
        <f t="shared" ref="M47:M48" si="31">M46</f>
        <v>0</v>
      </c>
      <c r="N47">
        <f t="shared" ref="N47" si="32">N46</f>
        <v>0</v>
      </c>
      <c r="O47">
        <f t="shared" si="25"/>
        <v>0</v>
      </c>
      <c r="P47" t="str">
        <f>IF($D47=TRUE,"",P46)</f>
        <v/>
      </c>
      <c r="Q47" t="str">
        <f t="shared" si="18"/>
        <v/>
      </c>
      <c r="R47" t="str">
        <f t="shared" si="19"/>
        <v/>
      </c>
      <c r="S47" t="str">
        <f>IF($D47=TRUE,"!#",S46)</f>
        <v>!#</v>
      </c>
      <c r="T47" t="str">
        <f>IF($D47=TRUE,"",T46)</f>
        <v/>
      </c>
      <c r="U47" t="str">
        <f t="shared" si="15"/>
        <v/>
      </c>
      <c r="V47" t="str">
        <f t="shared" si="16"/>
        <v/>
      </c>
      <c r="W47" t="str">
        <f>IF($D47=TRUE,"!#",W46)</f>
        <v>!#</v>
      </c>
    </row>
    <row r="48" spans="1:23" x14ac:dyDescent="0.3">
      <c r="A48">
        <v>1036</v>
      </c>
      <c r="D48" t="b">
        <f>IF(AND(C42=TRUE,CALCBL!B62 &lt;&gt; CALCBL!B43),TRUE,FALSE)</f>
        <v>0</v>
      </c>
      <c r="I48">
        <f t="shared" ref="I48:I49" si="33">I47</f>
        <v>6238</v>
      </c>
      <c r="J48">
        <f t="shared" ref="J48:J51" si="34">J47</f>
        <v>6238</v>
      </c>
      <c r="K48">
        <f t="shared" ref="K48:K51" si="35">K47</f>
        <v>5453</v>
      </c>
      <c r="L48">
        <f t="shared" ref="L48:L51" si="36">L47</f>
        <v>5453</v>
      </c>
      <c r="M48">
        <f t="shared" si="31"/>
        <v>0</v>
      </c>
      <c r="N48">
        <f>IF(D48=TRUE,0,N47)</f>
        <v>0</v>
      </c>
      <c r="O48">
        <f t="shared" si="25"/>
        <v>0</v>
      </c>
      <c r="P48" t="str">
        <f t="shared" ref="P48:P51" si="37">P47</f>
        <v/>
      </c>
      <c r="Q48" t="str">
        <f t="shared" si="18"/>
        <v/>
      </c>
      <c r="R48" t="str">
        <f t="shared" si="19"/>
        <v/>
      </c>
      <c r="S48" t="str">
        <f t="shared" ref="S48:S51" si="38">S47</f>
        <v>!#</v>
      </c>
      <c r="T48" t="str">
        <f t="shared" ref="T48:T51" si="39">T47</f>
        <v/>
      </c>
      <c r="U48" t="str">
        <f t="shared" si="15"/>
        <v/>
      </c>
      <c r="V48" t="str">
        <f t="shared" si="16"/>
        <v/>
      </c>
      <c r="W48" t="str">
        <f t="shared" ref="W48:W51" si="40">W47</f>
        <v>!#</v>
      </c>
    </row>
    <row r="49" spans="1:23" x14ac:dyDescent="0.3">
      <c r="A49">
        <v>1038</v>
      </c>
      <c r="E49" t="b">
        <f>IF(AND(D48=TRUE,M48 = -1,K25 &gt; K32,K27 &gt;= 0,'Ins&amp;Outs'!B27 &gt;= K27),TRUE,FALSE)</f>
        <v>0</v>
      </c>
      <c r="I49">
        <f t="shared" si="33"/>
        <v>6238</v>
      </c>
      <c r="J49">
        <f t="shared" si="34"/>
        <v>6238</v>
      </c>
      <c r="K49">
        <f t="shared" si="35"/>
        <v>5453</v>
      </c>
      <c r="L49">
        <f t="shared" si="36"/>
        <v>5453</v>
      </c>
      <c r="M49">
        <f t="shared" ref="M49:M53" si="41">M48</f>
        <v>0</v>
      </c>
      <c r="N49">
        <f>IF(E49=TRUE,1,N48)</f>
        <v>0</v>
      </c>
      <c r="O49">
        <f t="shared" si="25"/>
        <v>0</v>
      </c>
      <c r="P49" t="str">
        <f t="shared" si="37"/>
        <v/>
      </c>
      <c r="Q49" t="str">
        <f t="shared" si="18"/>
        <v/>
      </c>
      <c r="R49" t="str">
        <f t="shared" si="19"/>
        <v/>
      </c>
      <c r="S49" t="str">
        <f t="shared" si="38"/>
        <v>!#</v>
      </c>
      <c r="T49" t="str">
        <f t="shared" si="39"/>
        <v/>
      </c>
      <c r="U49" t="str">
        <f t="shared" si="15"/>
        <v/>
      </c>
      <c r="V49" t="str">
        <f t="shared" si="16"/>
        <v/>
      </c>
      <c r="W49" t="str">
        <f t="shared" si="40"/>
        <v>!#</v>
      </c>
    </row>
    <row r="50" spans="1:23" x14ac:dyDescent="0.3">
      <c r="A50">
        <v>1039</v>
      </c>
      <c r="E50" t="b">
        <f>IF(AND(D48=TRUE,M49 = -1,'Ins&amp;Outs'!B27 &gt;= M49),TRUE,FALSE)</f>
        <v>0</v>
      </c>
      <c r="I50">
        <f t="shared" ref="I50" si="42">I49</f>
        <v>6238</v>
      </c>
      <c r="J50">
        <f t="shared" si="34"/>
        <v>6238</v>
      </c>
      <c r="K50">
        <f t="shared" si="35"/>
        <v>5453</v>
      </c>
      <c r="L50">
        <f t="shared" si="36"/>
        <v>5453</v>
      </c>
      <c r="M50">
        <f t="shared" si="41"/>
        <v>0</v>
      </c>
      <c r="N50">
        <f>IF(E50=TRUE,2,N49)</f>
        <v>0</v>
      </c>
      <c r="O50">
        <f t="shared" si="25"/>
        <v>0</v>
      </c>
      <c r="P50" t="str">
        <f t="shared" si="37"/>
        <v/>
      </c>
      <c r="Q50" t="str">
        <f t="shared" si="18"/>
        <v/>
      </c>
      <c r="R50" t="str">
        <f t="shared" si="19"/>
        <v/>
      </c>
      <c r="S50" t="str">
        <f t="shared" si="38"/>
        <v>!#</v>
      </c>
      <c r="T50" t="str">
        <f t="shared" si="39"/>
        <v/>
      </c>
      <c r="U50" t="str">
        <f t="shared" si="15"/>
        <v/>
      </c>
      <c r="V50" t="str">
        <f t="shared" si="16"/>
        <v/>
      </c>
      <c r="W50" t="str">
        <f t="shared" si="40"/>
        <v>!#</v>
      </c>
    </row>
    <row r="51" spans="1:23" x14ac:dyDescent="0.3">
      <c r="A51">
        <v>1040</v>
      </c>
      <c r="E51" t="b">
        <f>IF(AND(D48=TRUE,M50 = 0),TRUE,FALSE)</f>
        <v>0</v>
      </c>
      <c r="I51">
        <f t="shared" ref="I51:K52" si="43">I50</f>
        <v>6238</v>
      </c>
      <c r="J51">
        <f t="shared" si="34"/>
        <v>6238</v>
      </c>
      <c r="K51">
        <f t="shared" si="35"/>
        <v>5453</v>
      </c>
      <c r="L51">
        <f t="shared" si="36"/>
        <v>5453</v>
      </c>
      <c r="M51">
        <f t="shared" si="41"/>
        <v>0</v>
      </c>
      <c r="N51">
        <f>IF(E51=TRUE,3,N50)</f>
        <v>0</v>
      </c>
      <c r="O51">
        <f t="shared" si="25"/>
        <v>0</v>
      </c>
      <c r="P51" t="str">
        <f t="shared" si="37"/>
        <v/>
      </c>
      <c r="Q51" t="str">
        <f t="shared" si="18"/>
        <v/>
      </c>
      <c r="R51" t="str">
        <f t="shared" si="19"/>
        <v/>
      </c>
      <c r="S51" t="str">
        <f t="shared" si="38"/>
        <v>!#</v>
      </c>
      <c r="T51" t="str">
        <f t="shared" si="39"/>
        <v/>
      </c>
      <c r="U51" t="str">
        <f t="shared" si="15"/>
        <v/>
      </c>
      <c r="V51" t="str">
        <f t="shared" si="16"/>
        <v/>
      </c>
      <c r="W51" t="str">
        <f t="shared" si="40"/>
        <v>!#</v>
      </c>
    </row>
    <row r="52" spans="1:23" x14ac:dyDescent="0.3">
      <c r="A52">
        <v>1041</v>
      </c>
      <c r="E52" s="1" t="b">
        <f>IF(AND(D48=TRUE,N51 &lt;&gt; 0),TRUE,FALSE)</f>
        <v>0</v>
      </c>
      <c r="I52">
        <f t="shared" si="43"/>
        <v>6238</v>
      </c>
      <c r="J52">
        <f>IF($E52=TRUE,$K32,J51)</f>
        <v>6238</v>
      </c>
      <c r="K52">
        <f t="shared" si="43"/>
        <v>5453</v>
      </c>
      <c r="L52">
        <f>IF($E52=TRUE,$K33,L51)</f>
        <v>5453</v>
      </c>
      <c r="M52">
        <f t="shared" si="41"/>
        <v>0</v>
      </c>
      <c r="N52">
        <f t="shared" ref="N52:N54" si="44">N51</f>
        <v>0</v>
      </c>
      <c r="O52">
        <f t="shared" si="25"/>
        <v>0</v>
      </c>
      <c r="P52" t="str">
        <f>IF($E52=TRUE,"!",P51)</f>
        <v/>
      </c>
      <c r="Q52" t="str">
        <f t="shared" si="18"/>
        <v/>
      </c>
      <c r="R52" t="str">
        <f t="shared" si="19"/>
        <v/>
      </c>
      <c r="S52" t="str">
        <f>IF($E52=TRUE,"#",S51)</f>
        <v>!#</v>
      </c>
      <c r="T52" t="str">
        <f>IF($E52=TRUE,"!",T51)</f>
        <v/>
      </c>
      <c r="U52" t="str">
        <f t="shared" si="15"/>
        <v/>
      </c>
      <c r="V52" t="str">
        <f t="shared" si="16"/>
        <v/>
      </c>
      <c r="W52" t="str">
        <f>IF($E52=TRUE,"#",W51)</f>
        <v>!#</v>
      </c>
    </row>
    <row r="53" spans="1:23" x14ac:dyDescent="0.3">
      <c r="A53">
        <v>1050</v>
      </c>
      <c r="D53" t="b">
        <f>IF(AND(C42=TRUE,'Ins&amp;Outs'!B30 &lt;= 45,'Projectile Data'!AW4 = 0),TRUE,FALSE)</f>
        <v>0</v>
      </c>
      <c r="I53">
        <f t="shared" ref="I53" si="45">I52</f>
        <v>6238</v>
      </c>
      <c r="J53">
        <f t="shared" ref="J53" si="46">J52</f>
        <v>6238</v>
      </c>
      <c r="K53">
        <f t="shared" ref="K53" si="47">K52</f>
        <v>5453</v>
      </c>
      <c r="L53">
        <f t="shared" ref="L53" si="48">L52</f>
        <v>5453</v>
      </c>
      <c r="M53">
        <f t="shared" si="41"/>
        <v>0</v>
      </c>
      <c r="N53">
        <f t="shared" si="44"/>
        <v>0</v>
      </c>
      <c r="O53">
        <f t="shared" si="25"/>
        <v>0</v>
      </c>
      <c r="P53" t="str">
        <f t="shared" ref="P53" si="49">P52</f>
        <v/>
      </c>
      <c r="Q53" t="str">
        <f t="shared" si="18"/>
        <v/>
      </c>
      <c r="R53" t="str">
        <f t="shared" si="19"/>
        <v/>
      </c>
      <c r="S53" t="str">
        <f t="shared" ref="S53" si="50">S52</f>
        <v>!#</v>
      </c>
      <c r="T53" t="str">
        <f t="shared" ref="T53" si="51">T52</f>
        <v/>
      </c>
      <c r="U53" t="str">
        <f t="shared" si="15"/>
        <v/>
      </c>
      <c r="V53" t="str">
        <f t="shared" si="16"/>
        <v/>
      </c>
      <c r="W53" t="str">
        <f t="shared" ref="W53" si="52">W52</f>
        <v>!#</v>
      </c>
    </row>
    <row r="54" spans="1:23" x14ac:dyDescent="0.3">
      <c r="A54">
        <v>1054</v>
      </c>
      <c r="E54" t="b">
        <f>IF(AND(D53=TRUE,OR(W53 = "!#",AND(W53 = "#",K28=K30)),I53 &gt;= K28),TRUE,FALSE)</f>
        <v>0</v>
      </c>
      <c r="I54">
        <f>IF($E54=TRUE,$K30,I53)</f>
        <v>6238</v>
      </c>
      <c r="J54">
        <f>IF($E54=TRUE,$K30,J53)</f>
        <v>6238</v>
      </c>
      <c r="K54">
        <f>IF($E54=TRUE,$K31,K53)</f>
        <v>5453</v>
      </c>
      <c r="L54">
        <f>IF($E54=TRUE,$K31,L53)</f>
        <v>5453</v>
      </c>
      <c r="M54">
        <f t="shared" ref="M54" si="53">M53</f>
        <v>0</v>
      </c>
      <c r="N54">
        <f t="shared" si="44"/>
        <v>0</v>
      </c>
      <c r="O54">
        <f t="shared" si="25"/>
        <v>0</v>
      </c>
      <c r="P54" t="str">
        <f>IF($E54=TRUE,"",P53)</f>
        <v/>
      </c>
      <c r="Q54" t="str">
        <f>IF($E54=TRUE,"",Q53)</f>
        <v/>
      </c>
      <c r="R54" t="str">
        <f>IF($E54=TRUE,"!#",R53)</f>
        <v/>
      </c>
      <c r="S54" t="str">
        <f>IF($E54=TRUE,"",S53)</f>
        <v>!#</v>
      </c>
      <c r="T54" t="str">
        <f>IF($E54=TRUE,"",T53)</f>
        <v/>
      </c>
      <c r="U54" t="str">
        <f>IF($E54=TRUE,"",U53)</f>
        <v/>
      </c>
      <c r="V54" t="str">
        <f>IF($E54=TRUE,"!#",V53)</f>
        <v/>
      </c>
      <c r="W54" t="str">
        <f>IF($E54=TRUE,"",W53)</f>
        <v>!#</v>
      </c>
    </row>
    <row r="55" spans="1:23" x14ac:dyDescent="0.3">
      <c r="A55">
        <v>1060</v>
      </c>
      <c r="E55" t="b">
        <f>IF(AND(D53=TRUE,E54=FALSE,W54 = "#",I54 &gt;= K28),TRUE,FALSE)</f>
        <v>0</v>
      </c>
      <c r="I55">
        <f>IF($E55=TRUE,$K28,I54)</f>
        <v>6238</v>
      </c>
      <c r="J55">
        <f>IF($E55=TRUE,$K30,J54)</f>
        <v>6238</v>
      </c>
      <c r="K55">
        <f>IF($E55=TRUE,$K29,K54)</f>
        <v>5453</v>
      </c>
      <c r="L55">
        <f>IF($E55=TRUE,$K31,L54)</f>
        <v>5453</v>
      </c>
      <c r="M55">
        <f t="shared" ref="M55" si="54">M54</f>
        <v>0</v>
      </c>
      <c r="N55">
        <f t="shared" ref="N55:N59" si="55">N54</f>
        <v>0</v>
      </c>
      <c r="O55">
        <f t="shared" ref="O55:O59" si="56">O54</f>
        <v>0</v>
      </c>
      <c r="P55" t="str">
        <f>IF($E55=TRUE,"",P54)</f>
        <v/>
      </c>
      <c r="Q55" t="str">
        <f>IF($E55=TRUE,"!",Q54)</f>
        <v/>
      </c>
      <c r="R55" t="str">
        <f>IF($E55=TRUE,"#",R54)</f>
        <v/>
      </c>
      <c r="S55" t="str">
        <f>IF($E55=TRUE,"",S54)</f>
        <v>!#</v>
      </c>
      <c r="T55" t="str">
        <f>IF($E55=TRUE,"",T54)</f>
        <v/>
      </c>
      <c r="U55" t="str">
        <f>IF($E55=TRUE,"!",U54)</f>
        <v/>
      </c>
      <c r="V55" t="str">
        <f>IF($E55=TRUE,"#",V54)</f>
        <v/>
      </c>
      <c r="W55" t="str">
        <f>IF($E55=TRUE,"",W54)</f>
        <v>!#</v>
      </c>
    </row>
    <row r="56" spans="1:23" x14ac:dyDescent="0.3">
      <c r="A56">
        <v>1066</v>
      </c>
      <c r="E56" t="b">
        <f>IF(AND(D53=TRUE,E55=FALSE,E54=FALSE,I55 &gt;= K28),TRUE,FALSE)</f>
        <v>0</v>
      </c>
      <c r="I56">
        <f>IF($E56=TRUE,$K28,I55)</f>
        <v>6238</v>
      </c>
      <c r="J56">
        <f>IF($E56=TRUE,$K28,J55)</f>
        <v>6238</v>
      </c>
      <c r="K56">
        <f>IF($E56=TRUE,$K28,K55)</f>
        <v>5453</v>
      </c>
      <c r="L56">
        <f>IF($E56=TRUE,$K28,L55)</f>
        <v>5453</v>
      </c>
      <c r="M56">
        <f t="shared" ref="M56" si="57">M55</f>
        <v>0</v>
      </c>
      <c r="N56">
        <f t="shared" si="55"/>
        <v>0</v>
      </c>
      <c r="O56">
        <f t="shared" si="56"/>
        <v>0</v>
      </c>
      <c r="P56" t="str">
        <f t="shared" ref="P56" si="58">P55</f>
        <v/>
      </c>
      <c r="Q56" t="str">
        <f t="shared" ref="Q56" si="59">Q55</f>
        <v/>
      </c>
      <c r="R56" t="str">
        <f t="shared" ref="R56" si="60">R55</f>
        <v/>
      </c>
      <c r="S56" t="str">
        <f t="shared" ref="S56" si="61">S55</f>
        <v>!#</v>
      </c>
      <c r="T56" t="str">
        <f t="shared" ref="T56" si="62">T55</f>
        <v/>
      </c>
      <c r="U56" t="str">
        <f t="shared" ref="U56" si="63">U55</f>
        <v/>
      </c>
      <c r="V56" t="str">
        <f t="shared" ref="V56" si="64">V55</f>
        <v/>
      </c>
      <c r="W56" t="str">
        <f t="shared" ref="W56" si="65">W55</f>
        <v>!#</v>
      </c>
    </row>
    <row r="57" spans="1:23" x14ac:dyDescent="0.3">
      <c r="A57">
        <v>1070</v>
      </c>
      <c r="F57" t="b">
        <f>IF(AND(E56=TRUE,T56 = "!#"),TRUE,FALSE)</f>
        <v>0</v>
      </c>
      <c r="I57">
        <f t="shared" ref="I57" si="66">I56</f>
        <v>6238</v>
      </c>
      <c r="J57">
        <f t="shared" ref="J57:J59" si="67">J56</f>
        <v>6238</v>
      </c>
      <c r="K57">
        <f t="shared" ref="K57:K59" si="68">K56</f>
        <v>5453</v>
      </c>
      <c r="L57">
        <f t="shared" ref="L57:L59" si="69">L56</f>
        <v>5453</v>
      </c>
      <c r="M57">
        <f t="shared" ref="M57:M59" si="70">M56</f>
        <v>0</v>
      </c>
      <c r="N57">
        <f t="shared" si="55"/>
        <v>0</v>
      </c>
      <c r="O57">
        <f t="shared" si="56"/>
        <v>0</v>
      </c>
      <c r="P57" t="str">
        <f>IF($F57=TRUE,"",P56)</f>
        <v/>
      </c>
      <c r="Q57" t="str">
        <f>IF($F57=TRUE,"!#",Q56)</f>
        <v/>
      </c>
      <c r="R57" t="str">
        <f>IF($F57=TRUE,"",R56)</f>
        <v/>
      </c>
      <c r="S57" t="str">
        <f>IF($F57=TRUE,"",S56)</f>
        <v>!#</v>
      </c>
      <c r="T57" t="str">
        <f>IF($F57=TRUE,"",T56)</f>
        <v/>
      </c>
      <c r="U57" t="str">
        <f>IF($F57=TRUE,"!#",U56)</f>
        <v/>
      </c>
      <c r="V57" t="str">
        <f>IF($F57=TRUE,"",V56)</f>
        <v/>
      </c>
      <c r="W57" t="str">
        <f>IF($F57=TRUE,"",W56)</f>
        <v>!#</v>
      </c>
    </row>
    <row r="58" spans="1:23" x14ac:dyDescent="0.3">
      <c r="A58">
        <v>1074</v>
      </c>
      <c r="G58" t="b">
        <f>IF(AND(F57=TRUE,K28 = K30),TRUE,FALSE)</f>
        <v>0</v>
      </c>
      <c r="I58">
        <f t="shared" ref="I58" si="71">I57</f>
        <v>6238</v>
      </c>
      <c r="J58">
        <f t="shared" si="67"/>
        <v>6238</v>
      </c>
      <c r="K58">
        <f t="shared" si="68"/>
        <v>5453</v>
      </c>
      <c r="L58">
        <f t="shared" si="69"/>
        <v>5453</v>
      </c>
      <c r="M58">
        <f t="shared" si="70"/>
        <v>0</v>
      </c>
      <c r="N58">
        <f t="shared" si="55"/>
        <v>0</v>
      </c>
      <c r="O58">
        <f t="shared" si="56"/>
        <v>0</v>
      </c>
      <c r="P58" t="str">
        <f t="shared" ref="P58" si="72">P57</f>
        <v/>
      </c>
      <c r="Q58" t="str">
        <f>IF($G58=TRUE,"",Q57)</f>
        <v/>
      </c>
      <c r="R58" t="str">
        <f>IF($G58=TRUE,"!#",R57)</f>
        <v/>
      </c>
      <c r="S58" t="str">
        <f t="shared" ref="S58" si="73">S57</f>
        <v>!#</v>
      </c>
      <c r="T58" t="str">
        <f t="shared" ref="T58" si="74">T57</f>
        <v/>
      </c>
      <c r="U58" t="str">
        <f>IF($G58=TRUE,"",U57)</f>
        <v/>
      </c>
      <c r="V58" t="str">
        <f>IF($G58=TRUE,"!#",V57)</f>
        <v/>
      </c>
      <c r="W58" t="str">
        <f t="shared" ref="W58" si="75">W57</f>
        <v>!#</v>
      </c>
    </row>
    <row r="59" spans="1:23" x14ac:dyDescent="0.3">
      <c r="A59">
        <v>1079</v>
      </c>
      <c r="F59" t="b">
        <f>IF(AND(E56=TRUE,T58 &lt;&gt; "!#"),TRUE,FALSE)</f>
        <v>0</v>
      </c>
      <c r="I59">
        <f t="shared" ref="I59:I61" si="76">I58</f>
        <v>6238</v>
      </c>
      <c r="J59">
        <f t="shared" si="67"/>
        <v>6238</v>
      </c>
      <c r="K59">
        <f t="shared" si="68"/>
        <v>5453</v>
      </c>
      <c r="L59">
        <f t="shared" si="69"/>
        <v>5453</v>
      </c>
      <c r="M59">
        <f t="shared" si="70"/>
        <v>0</v>
      </c>
      <c r="N59">
        <f t="shared" si="55"/>
        <v>0</v>
      </c>
      <c r="O59">
        <f t="shared" si="56"/>
        <v>0</v>
      </c>
      <c r="P59" t="str">
        <f>IF($F59=TRUE,"",P58)</f>
        <v/>
      </c>
      <c r="Q59" t="str">
        <f>IF($F59=TRUE,"!",Q58)</f>
        <v/>
      </c>
      <c r="R59" t="str">
        <f>IF($F59=TRUE,"#",R58)</f>
        <v/>
      </c>
      <c r="S59" t="str">
        <f>IF($F59=TRUE,"",S58)</f>
        <v>!#</v>
      </c>
      <c r="T59" t="str">
        <f>IF($F59=TRUE,"",T58)</f>
        <v/>
      </c>
      <c r="U59" t="str">
        <f>IF($F59=TRUE,"!",U58)</f>
        <v/>
      </c>
      <c r="V59" t="str">
        <f>IF($F59=TRUE,"#",V58)</f>
        <v/>
      </c>
      <c r="W59" t="str">
        <f>IF($F59=TRUE,"",W58)</f>
        <v>!#</v>
      </c>
    </row>
    <row r="60" spans="1:23" x14ac:dyDescent="0.3">
      <c r="A60">
        <v>1083</v>
      </c>
      <c r="G60" t="b">
        <f>IF(AND(F59=TRUE,K28 = K30),TRUE,FALSE)</f>
        <v>0</v>
      </c>
      <c r="I60">
        <f t="shared" si="76"/>
        <v>6238</v>
      </c>
      <c r="J60">
        <f t="shared" ref="J60:J91" si="77">J59</f>
        <v>6238</v>
      </c>
      <c r="K60">
        <f t="shared" ref="K60:K65" si="78">K59</f>
        <v>5453</v>
      </c>
      <c r="L60">
        <f t="shared" ref="L60:L61" si="79">L59</f>
        <v>5453</v>
      </c>
      <c r="M60">
        <f t="shared" ref="M60:M91" si="80">M59</f>
        <v>0</v>
      </c>
      <c r="N60">
        <f t="shared" ref="N60:N91" si="81">N59</f>
        <v>0</v>
      </c>
      <c r="O60">
        <f t="shared" ref="O60:W61" si="82">O59</f>
        <v>0</v>
      </c>
      <c r="P60" t="str">
        <f t="shared" ref="P60:P67" si="83">P59</f>
        <v/>
      </c>
      <c r="Q60" t="str">
        <f>IF($G60=TRUE,"",Q59)</f>
        <v/>
      </c>
      <c r="R60" t="str">
        <f>IF($G60=TRUE,"!#",R59)</f>
        <v/>
      </c>
      <c r="S60" t="str">
        <f t="shared" ref="S60:S67" si="84">S59</f>
        <v>!#</v>
      </c>
      <c r="T60" t="str">
        <f t="shared" ref="T60:T91" si="85">T59</f>
        <v/>
      </c>
      <c r="U60" t="str">
        <f>IF($G60=TRUE,"",U59)</f>
        <v/>
      </c>
      <c r="V60" t="str">
        <f>IF($G60=TRUE,"!#",V59)</f>
        <v/>
      </c>
      <c r="W60" t="str">
        <f t="shared" ref="W60:W91" si="86">W59</f>
        <v>!#</v>
      </c>
    </row>
    <row r="61" spans="1:23" x14ac:dyDescent="0.3">
      <c r="A61">
        <v>1089</v>
      </c>
      <c r="E61" t="b">
        <f>IF(AND(D53=TRUE,E55=FALSE,E54=FALSE,E56=FALSE,K60 &gt;= K29),TRUE,FALSE)</f>
        <v>0</v>
      </c>
      <c r="I61">
        <f t="shared" si="76"/>
        <v>6238</v>
      </c>
      <c r="J61">
        <f t="shared" si="77"/>
        <v>6238</v>
      </c>
      <c r="K61">
        <f t="shared" si="78"/>
        <v>5453</v>
      </c>
      <c r="L61">
        <f t="shared" si="79"/>
        <v>5453</v>
      </c>
      <c r="M61">
        <f t="shared" si="80"/>
        <v>0</v>
      </c>
      <c r="N61">
        <f t="shared" si="81"/>
        <v>0</v>
      </c>
      <c r="O61">
        <f t="shared" si="82"/>
        <v>0</v>
      </c>
      <c r="P61" t="str">
        <f t="shared" si="82"/>
        <v/>
      </c>
      <c r="Q61" t="str">
        <f t="shared" si="82"/>
        <v/>
      </c>
      <c r="R61" t="str">
        <f t="shared" si="82"/>
        <v/>
      </c>
      <c r="S61" t="str">
        <f t="shared" si="82"/>
        <v>!#</v>
      </c>
      <c r="T61" t="str">
        <f t="shared" si="82"/>
        <v/>
      </c>
      <c r="U61" t="str">
        <f t="shared" si="82"/>
        <v/>
      </c>
      <c r="V61" t="str">
        <f t="shared" si="82"/>
        <v/>
      </c>
      <c r="W61" t="str">
        <f t="shared" si="82"/>
        <v>!#</v>
      </c>
    </row>
    <row r="62" spans="1:23" x14ac:dyDescent="0.3">
      <c r="A62">
        <v>1091</v>
      </c>
      <c r="F62" t="b">
        <f>IF(AND(E61=TRUE,L60 &lt;K60),TRUE,FALSE)</f>
        <v>0</v>
      </c>
      <c r="I62">
        <f t="shared" ref="I62" si="87">I60</f>
        <v>6238</v>
      </c>
      <c r="J62">
        <f t="shared" ref="J62:W62" si="88">J60</f>
        <v>6238</v>
      </c>
      <c r="K62">
        <f t="shared" si="88"/>
        <v>5453</v>
      </c>
      <c r="L62">
        <f t="shared" si="88"/>
        <v>5453</v>
      </c>
      <c r="M62">
        <f t="shared" si="88"/>
        <v>0</v>
      </c>
      <c r="N62">
        <f t="shared" si="88"/>
        <v>0</v>
      </c>
      <c r="O62">
        <f t="shared" si="88"/>
        <v>0</v>
      </c>
      <c r="P62" t="str">
        <f t="shared" si="88"/>
        <v/>
      </c>
      <c r="Q62" t="str">
        <f t="shared" si="88"/>
        <v/>
      </c>
      <c r="R62" t="str">
        <f t="shared" si="88"/>
        <v/>
      </c>
      <c r="S62" t="str">
        <f t="shared" si="88"/>
        <v>!#</v>
      </c>
      <c r="T62" t="str">
        <f t="shared" si="88"/>
        <v/>
      </c>
      <c r="U62" t="str">
        <f t="shared" si="88"/>
        <v/>
      </c>
      <c r="V62" t="str">
        <f t="shared" si="88"/>
        <v/>
      </c>
      <c r="W62" t="str">
        <f t="shared" si="88"/>
        <v>!#</v>
      </c>
    </row>
    <row r="63" spans="1:23" x14ac:dyDescent="0.3">
      <c r="A63">
        <v>1092</v>
      </c>
      <c r="G63" t="b">
        <f>IF(AND(F62=TRUE,L62 &gt; K31),TRUE,FALSE)</f>
        <v>0</v>
      </c>
      <c r="I63">
        <f t="shared" ref="I63" si="89">I62</f>
        <v>6238</v>
      </c>
      <c r="J63">
        <f t="shared" si="77"/>
        <v>6238</v>
      </c>
      <c r="K63">
        <f t="shared" si="78"/>
        <v>5453</v>
      </c>
      <c r="L63">
        <f>IF($G63=TRUE,K31,L62)</f>
        <v>5453</v>
      </c>
      <c r="M63">
        <f t="shared" si="80"/>
        <v>0</v>
      </c>
      <c r="N63">
        <f t="shared" si="81"/>
        <v>0</v>
      </c>
      <c r="O63">
        <f>IF($G63=TRUE,1,O62)</f>
        <v>0</v>
      </c>
      <c r="P63" t="str">
        <f t="shared" si="83"/>
        <v/>
      </c>
      <c r="Q63" t="str">
        <f t="shared" ref="Q63:Q67" si="90">Q62</f>
        <v/>
      </c>
      <c r="R63" t="str">
        <f t="shared" ref="R63:R67" si="91">R62</f>
        <v/>
      </c>
      <c r="S63" t="str">
        <f t="shared" si="84"/>
        <v>!#</v>
      </c>
      <c r="T63" t="str">
        <f t="shared" si="85"/>
        <v/>
      </c>
      <c r="U63" t="str">
        <f t="shared" ref="U63:U91" si="92">U62</f>
        <v/>
      </c>
      <c r="V63" t="str">
        <f t="shared" ref="V63:V91" si="93">V62</f>
        <v/>
      </c>
      <c r="W63" t="str">
        <f t="shared" si="86"/>
        <v>!#</v>
      </c>
    </row>
    <row r="64" spans="1:23" x14ac:dyDescent="0.3">
      <c r="A64">
        <v>1094</v>
      </c>
      <c r="G64" t="b">
        <f>IF(AND(F62=TRUE,L63 &lt; K31),TRUE,FALSE)</f>
        <v>0</v>
      </c>
      <c r="I64">
        <f t="shared" ref="I64" si="94">I63</f>
        <v>6238</v>
      </c>
      <c r="J64">
        <f t="shared" si="77"/>
        <v>6238</v>
      </c>
      <c r="K64">
        <f t="shared" si="78"/>
        <v>5453</v>
      </c>
      <c r="L64">
        <f t="shared" ref="L64:L68" si="95">L63</f>
        <v>5453</v>
      </c>
      <c r="M64">
        <f t="shared" si="80"/>
        <v>0</v>
      </c>
      <c r="N64">
        <f t="shared" si="81"/>
        <v>0</v>
      </c>
      <c r="O64">
        <f>IF($G64=TRUE,2,O63)</f>
        <v>0</v>
      </c>
      <c r="P64" t="str">
        <f t="shared" si="83"/>
        <v/>
      </c>
      <c r="Q64" t="str">
        <f t="shared" si="90"/>
        <v/>
      </c>
      <c r="R64" t="str">
        <f t="shared" si="91"/>
        <v/>
      </c>
      <c r="S64" t="str">
        <f t="shared" si="84"/>
        <v>!#</v>
      </c>
      <c r="T64" t="str">
        <f t="shared" si="85"/>
        <v/>
      </c>
      <c r="U64" t="str">
        <f t="shared" si="92"/>
        <v/>
      </c>
      <c r="V64" t="str">
        <f t="shared" si="93"/>
        <v/>
      </c>
      <c r="W64" t="str">
        <f t="shared" si="86"/>
        <v>!#</v>
      </c>
    </row>
    <row r="65" spans="1:23" x14ac:dyDescent="0.3">
      <c r="A65">
        <v>1097</v>
      </c>
      <c r="F65" t="b">
        <f>IF(AND(E61=TRUE,L64 &gt;K64),TRUE,FALSE)</f>
        <v>0</v>
      </c>
      <c r="I65">
        <f t="shared" ref="I65" si="96">I64</f>
        <v>6238</v>
      </c>
      <c r="J65">
        <f t="shared" si="77"/>
        <v>6238</v>
      </c>
      <c r="K65">
        <f t="shared" si="78"/>
        <v>5453</v>
      </c>
      <c r="L65">
        <f t="shared" si="95"/>
        <v>5453</v>
      </c>
      <c r="M65">
        <f t="shared" si="80"/>
        <v>0</v>
      </c>
      <c r="N65">
        <f t="shared" si="81"/>
        <v>0</v>
      </c>
      <c r="O65">
        <f>IF($F65=TRUE,0,O64)</f>
        <v>0</v>
      </c>
      <c r="P65" t="str">
        <f t="shared" si="83"/>
        <v/>
      </c>
      <c r="Q65" t="str">
        <f t="shared" si="90"/>
        <v/>
      </c>
      <c r="R65" t="str">
        <f t="shared" si="91"/>
        <v/>
      </c>
      <c r="S65" t="str">
        <f t="shared" si="84"/>
        <v>!#</v>
      </c>
      <c r="T65" t="str">
        <f t="shared" si="85"/>
        <v/>
      </c>
      <c r="U65" t="str">
        <f t="shared" si="92"/>
        <v/>
      </c>
      <c r="V65" t="str">
        <f t="shared" si="93"/>
        <v/>
      </c>
      <c r="W65" t="str">
        <f t="shared" si="86"/>
        <v>!#</v>
      </c>
    </row>
    <row r="66" spans="1:23" x14ac:dyDescent="0.3">
      <c r="A66">
        <v>1100</v>
      </c>
      <c r="F66" t="b">
        <f>IF(AND(E61=TRUE,OR(W65 = "!#",AND(W65 = "#",K28 = K30))),TRUE,FALSE)</f>
        <v>0</v>
      </c>
      <c r="I66">
        <f t="shared" ref="I66" si="97">I65</f>
        <v>6238</v>
      </c>
      <c r="J66">
        <f t="shared" si="77"/>
        <v>6238</v>
      </c>
      <c r="K66">
        <f>IF($F66=TRUE,K31,K65)</f>
        <v>5453</v>
      </c>
      <c r="L66">
        <f t="shared" si="95"/>
        <v>5453</v>
      </c>
      <c r="M66">
        <f t="shared" si="80"/>
        <v>0</v>
      </c>
      <c r="N66">
        <f t="shared" si="81"/>
        <v>0</v>
      </c>
      <c r="O66">
        <f t="shared" ref="O66:O76" si="98">O65</f>
        <v>0</v>
      </c>
      <c r="P66" t="str">
        <f t="shared" si="83"/>
        <v/>
      </c>
      <c r="Q66" t="str">
        <f t="shared" si="90"/>
        <v/>
      </c>
      <c r="R66" t="str">
        <f t="shared" si="91"/>
        <v/>
      </c>
      <c r="S66" t="str">
        <f t="shared" si="84"/>
        <v>!#</v>
      </c>
      <c r="T66" t="str">
        <f t="shared" si="85"/>
        <v/>
      </c>
      <c r="U66" t="str">
        <f t="shared" si="92"/>
        <v/>
      </c>
      <c r="V66" t="str">
        <f t="shared" si="93"/>
        <v/>
      </c>
      <c r="W66" t="str">
        <f t="shared" si="86"/>
        <v>!#</v>
      </c>
    </row>
    <row r="67" spans="1:23" x14ac:dyDescent="0.3">
      <c r="A67">
        <v>1102</v>
      </c>
      <c r="G67" t="b">
        <f>IF(AND(F66=TRUE,O66 = 2),TRUE,FALSE)</f>
        <v>0</v>
      </c>
      <c r="I67">
        <f t="shared" ref="I67" si="99">I66</f>
        <v>6238</v>
      </c>
      <c r="J67">
        <f t="shared" si="77"/>
        <v>6238</v>
      </c>
      <c r="K67">
        <f t="shared" ref="K67:K69" si="100">K66</f>
        <v>5453</v>
      </c>
      <c r="L67">
        <f t="shared" si="95"/>
        <v>5453</v>
      </c>
      <c r="M67">
        <f t="shared" si="80"/>
        <v>0</v>
      </c>
      <c r="N67">
        <f t="shared" si="81"/>
        <v>0</v>
      </c>
      <c r="O67">
        <f t="shared" si="98"/>
        <v>0</v>
      </c>
      <c r="P67" t="str">
        <f t="shared" si="83"/>
        <v/>
      </c>
      <c r="Q67" t="str">
        <f t="shared" si="90"/>
        <v/>
      </c>
      <c r="R67" t="str">
        <f t="shared" si="91"/>
        <v/>
      </c>
      <c r="S67" t="str">
        <f t="shared" si="84"/>
        <v>!#</v>
      </c>
      <c r="T67" t="str">
        <f t="shared" si="85"/>
        <v/>
      </c>
      <c r="U67" t="str">
        <f t="shared" si="92"/>
        <v/>
      </c>
      <c r="V67" t="str">
        <f t="shared" si="93"/>
        <v/>
      </c>
      <c r="W67" t="str">
        <f t="shared" si="86"/>
        <v>!#</v>
      </c>
    </row>
    <row r="68" spans="1:23" x14ac:dyDescent="0.3">
      <c r="A68">
        <v>1103</v>
      </c>
      <c r="H68" t="b">
        <f>IF(AND(G67=TRUE,W67 = "!#"),TRUE,FALSE)</f>
        <v>0</v>
      </c>
      <c r="I68">
        <f t="shared" ref="I68" si="101">I67</f>
        <v>6238</v>
      </c>
      <c r="J68">
        <f t="shared" si="77"/>
        <v>6238</v>
      </c>
      <c r="K68">
        <f t="shared" si="100"/>
        <v>5453</v>
      </c>
      <c r="L68">
        <f t="shared" si="95"/>
        <v>5453</v>
      </c>
      <c r="M68">
        <f t="shared" si="80"/>
        <v>0</v>
      </c>
      <c r="N68">
        <f t="shared" si="81"/>
        <v>0</v>
      </c>
      <c r="O68">
        <f t="shared" si="98"/>
        <v>0</v>
      </c>
      <c r="P68" t="str">
        <f>IF($H68=TRUE,"",P67)</f>
        <v/>
      </c>
      <c r="Q68" t="str">
        <f>IF($H68=TRUE,"",Q67)</f>
        <v/>
      </c>
      <c r="R68" t="str">
        <f>IF($H68=TRUE,"!",R67)</f>
        <v/>
      </c>
      <c r="S68" t="str">
        <f>IF($H68=TRUE,"#",S67)</f>
        <v>!#</v>
      </c>
      <c r="T68" t="str">
        <f t="shared" si="85"/>
        <v/>
      </c>
      <c r="U68" t="str">
        <f t="shared" si="92"/>
        <v/>
      </c>
      <c r="V68" t="str">
        <f t="shared" si="93"/>
        <v/>
      </c>
      <c r="W68" t="str">
        <f t="shared" si="86"/>
        <v>!#</v>
      </c>
    </row>
    <row r="69" spans="1:23" x14ac:dyDescent="0.3">
      <c r="A69">
        <v>1106</v>
      </c>
      <c r="G69" t="b">
        <f>IF(AND(F66=TRUE,O68 &lt;&gt; 2),TRUE,FALSE)</f>
        <v>0</v>
      </c>
      <c r="I69">
        <f t="shared" ref="I69" si="102">I68</f>
        <v>6238</v>
      </c>
      <c r="J69">
        <f t="shared" si="77"/>
        <v>6238</v>
      </c>
      <c r="K69">
        <f t="shared" si="100"/>
        <v>5453</v>
      </c>
      <c r="L69">
        <f>IF($G69=TRUE,K31,L68)</f>
        <v>5453</v>
      </c>
      <c r="M69">
        <f t="shared" si="80"/>
        <v>0</v>
      </c>
      <c r="N69">
        <f t="shared" si="81"/>
        <v>0</v>
      </c>
      <c r="O69">
        <f t="shared" si="98"/>
        <v>0</v>
      </c>
      <c r="P69" t="str">
        <f>IF($G69=TRUE,"",P68)</f>
        <v/>
      </c>
      <c r="Q69" t="str">
        <f>IF($G69=TRUE,"",Q68)</f>
        <v/>
      </c>
      <c r="R69" t="str">
        <f>IF($G69=TRUE,"!#",R68)</f>
        <v/>
      </c>
      <c r="S69" t="str">
        <f>IF($G69=TRUE,"",S68)</f>
        <v>!#</v>
      </c>
      <c r="T69" t="str">
        <f t="shared" si="85"/>
        <v/>
      </c>
      <c r="U69" t="str">
        <f t="shared" si="92"/>
        <v/>
      </c>
      <c r="V69" t="str">
        <f t="shared" si="93"/>
        <v/>
      </c>
      <c r="W69" t="str">
        <f t="shared" si="86"/>
        <v>!#</v>
      </c>
    </row>
    <row r="70" spans="1:23" x14ac:dyDescent="0.3">
      <c r="A70">
        <v>1110</v>
      </c>
      <c r="F70" t="b">
        <f>IF(AND(E61=TRUE,F66=FALSE,W69 = "#"),TRUE,FALSE)</f>
        <v>0</v>
      </c>
      <c r="I70">
        <f t="shared" ref="I70" si="103">I69</f>
        <v>6238</v>
      </c>
      <c r="J70">
        <f t="shared" si="77"/>
        <v>6238</v>
      </c>
      <c r="K70">
        <f>IF($F70=TRUE,K29,K69)</f>
        <v>5453</v>
      </c>
      <c r="L70">
        <f t="shared" ref="L70" si="104">L69</f>
        <v>5453</v>
      </c>
      <c r="M70">
        <f t="shared" si="80"/>
        <v>0</v>
      </c>
      <c r="N70">
        <f t="shared" si="81"/>
        <v>0</v>
      </c>
      <c r="O70">
        <f t="shared" si="98"/>
        <v>0</v>
      </c>
      <c r="P70" t="str">
        <f t="shared" ref="P70" si="105">P69</f>
        <v/>
      </c>
      <c r="Q70" t="str">
        <f t="shared" ref="Q70" si="106">Q69</f>
        <v/>
      </c>
      <c r="R70" t="str">
        <f t="shared" ref="R70" si="107">R69</f>
        <v/>
      </c>
      <c r="S70" t="str">
        <f t="shared" ref="S70" si="108">S69</f>
        <v>!#</v>
      </c>
      <c r="T70" t="str">
        <f t="shared" si="85"/>
        <v/>
      </c>
      <c r="U70" t="str">
        <f t="shared" si="92"/>
        <v/>
      </c>
      <c r="V70" t="str">
        <f t="shared" si="93"/>
        <v/>
      </c>
      <c r="W70" t="str">
        <f t="shared" si="86"/>
        <v>!#</v>
      </c>
    </row>
    <row r="71" spans="1:23" x14ac:dyDescent="0.3">
      <c r="A71">
        <v>1112</v>
      </c>
      <c r="G71" t="b">
        <f>IF(AND(F70=TRUE,O70 &lt; 2),TRUE,FALSE)</f>
        <v>0</v>
      </c>
      <c r="I71">
        <f t="shared" ref="I71" si="109">I70</f>
        <v>6238</v>
      </c>
      <c r="J71">
        <f t="shared" si="77"/>
        <v>6238</v>
      </c>
      <c r="K71">
        <f t="shared" ref="K71" si="110">K70</f>
        <v>5453</v>
      </c>
      <c r="L71">
        <f>IF($G71=TRUE,K31,L70)</f>
        <v>5453</v>
      </c>
      <c r="M71">
        <f t="shared" si="80"/>
        <v>0</v>
      </c>
      <c r="N71">
        <f t="shared" si="81"/>
        <v>0</v>
      </c>
      <c r="O71">
        <f t="shared" si="98"/>
        <v>0</v>
      </c>
      <c r="P71" t="str">
        <f>IF($G71=TRUE,"",P70)</f>
        <v/>
      </c>
      <c r="Q71" t="str">
        <f>IF($G71=TRUE,"!",Q70)</f>
        <v/>
      </c>
      <c r="R71" t="str">
        <f>IF($G71=TRUE,"#",R70)</f>
        <v/>
      </c>
      <c r="S71" t="str">
        <f>IF($G71=TRUE,"",S70)</f>
        <v>!#</v>
      </c>
      <c r="T71" t="str">
        <f t="shared" si="85"/>
        <v/>
      </c>
      <c r="U71" t="str">
        <f t="shared" si="92"/>
        <v/>
      </c>
      <c r="V71" t="str">
        <f t="shared" si="93"/>
        <v/>
      </c>
      <c r="W71" t="str">
        <f t="shared" si="86"/>
        <v>!#</v>
      </c>
    </row>
    <row r="72" spans="1:23" x14ac:dyDescent="0.3">
      <c r="A72">
        <v>1116</v>
      </c>
      <c r="F72" t="b">
        <f>IF(AND(E61=TRUE,F66=FALSE,F70=FALSE),TRUE,FALSE)</f>
        <v>0</v>
      </c>
      <c r="I72">
        <f t="shared" ref="I72" si="111">I71</f>
        <v>6238</v>
      </c>
      <c r="J72">
        <f t="shared" si="77"/>
        <v>6238</v>
      </c>
      <c r="K72">
        <f>IF($F72=TRUE,$K29,K71)</f>
        <v>5453</v>
      </c>
      <c r="L72">
        <f>IF($F72=TRUE,$K29,L71)</f>
        <v>5453</v>
      </c>
      <c r="M72">
        <f t="shared" si="80"/>
        <v>0</v>
      </c>
      <c r="N72">
        <f t="shared" si="81"/>
        <v>0</v>
      </c>
      <c r="O72">
        <f t="shared" si="98"/>
        <v>0</v>
      </c>
      <c r="P72" t="str">
        <f t="shared" ref="P72" si="112">P71</f>
        <v/>
      </c>
      <c r="Q72" t="str">
        <f t="shared" ref="Q72" si="113">Q71</f>
        <v/>
      </c>
      <c r="R72" t="str">
        <f t="shared" ref="R72" si="114">R71</f>
        <v/>
      </c>
      <c r="S72" t="str">
        <f t="shared" ref="S72" si="115">S71</f>
        <v>!#</v>
      </c>
      <c r="T72" t="str">
        <f t="shared" si="85"/>
        <v/>
      </c>
      <c r="U72" t="str">
        <f t="shared" si="92"/>
        <v/>
      </c>
      <c r="V72" t="str">
        <f t="shared" si="93"/>
        <v/>
      </c>
      <c r="W72" t="str">
        <f t="shared" si="86"/>
        <v>!#</v>
      </c>
    </row>
    <row r="73" spans="1:23" x14ac:dyDescent="0.3">
      <c r="A73">
        <v>1119</v>
      </c>
      <c r="G73" t="b">
        <f>IF(AND(F72=TRUE,P72="!#"),TRUE,FALSE)</f>
        <v>0</v>
      </c>
      <c r="I73">
        <f t="shared" ref="I73" si="116">I72</f>
        <v>6238</v>
      </c>
      <c r="J73">
        <f t="shared" si="77"/>
        <v>6238</v>
      </c>
      <c r="K73">
        <f t="shared" ref="K73:K82" si="117">K72</f>
        <v>5453</v>
      </c>
      <c r="L73">
        <f t="shared" ref="L73:L76" si="118">L72</f>
        <v>5453</v>
      </c>
      <c r="M73">
        <f t="shared" si="80"/>
        <v>0</v>
      </c>
      <c r="N73">
        <f t="shared" si="81"/>
        <v>0</v>
      </c>
      <c r="O73">
        <f t="shared" si="98"/>
        <v>0</v>
      </c>
      <c r="P73" t="str">
        <f>IF($G73=TRUE,"",P72)</f>
        <v/>
      </c>
      <c r="Q73" t="str">
        <f>IF($G73=TRUE,"!#",Q72)</f>
        <v/>
      </c>
      <c r="R73" t="str">
        <f>IF($G73=TRUE,"",R72)</f>
        <v/>
      </c>
      <c r="S73" t="str">
        <f>IF($G73=TRUE,"",S72)</f>
        <v>!#</v>
      </c>
      <c r="T73" t="str">
        <f t="shared" si="85"/>
        <v/>
      </c>
      <c r="U73" t="str">
        <f t="shared" si="92"/>
        <v/>
      </c>
      <c r="V73" t="str">
        <f t="shared" si="93"/>
        <v/>
      </c>
      <c r="W73" t="str">
        <f>W72</f>
        <v>!#</v>
      </c>
    </row>
    <row r="74" spans="1:23" x14ac:dyDescent="0.3">
      <c r="A74">
        <v>1122</v>
      </c>
      <c r="H74" t="b">
        <f>IF(AND(G73=TRUE,K29 = K31),TRUE,FALSE)</f>
        <v>0</v>
      </c>
      <c r="I74">
        <f t="shared" ref="I74" si="119">I73</f>
        <v>6238</v>
      </c>
      <c r="J74">
        <f t="shared" si="77"/>
        <v>6238</v>
      </c>
      <c r="K74">
        <f t="shared" si="117"/>
        <v>5453</v>
      </c>
      <c r="L74">
        <f t="shared" si="118"/>
        <v>5453</v>
      </c>
      <c r="M74">
        <f t="shared" si="80"/>
        <v>0</v>
      </c>
      <c r="N74">
        <f t="shared" si="81"/>
        <v>0</v>
      </c>
      <c r="O74">
        <f t="shared" si="98"/>
        <v>0</v>
      </c>
      <c r="P74" t="str">
        <f t="shared" ref="P74" si="120">P73</f>
        <v/>
      </c>
      <c r="Q74" t="str">
        <f>IF($H74=TRUE,"",Q73)</f>
        <v/>
      </c>
      <c r="R74" t="str">
        <f>IF($H74=TRUE,"!#",R73)</f>
        <v/>
      </c>
      <c r="S74" t="str">
        <f t="shared" ref="S74" si="121">S73</f>
        <v>!#</v>
      </c>
      <c r="T74" t="str">
        <f t="shared" si="85"/>
        <v/>
      </c>
      <c r="U74" t="str">
        <f t="shared" si="92"/>
        <v/>
      </c>
      <c r="V74" t="str">
        <f t="shared" si="93"/>
        <v/>
      </c>
      <c r="W74" t="str">
        <f t="shared" si="86"/>
        <v>!#</v>
      </c>
    </row>
    <row r="75" spans="1:23" x14ac:dyDescent="0.3">
      <c r="A75">
        <v>1125</v>
      </c>
      <c r="G75" t="b">
        <f>IF(AND(F72=TRUE,P74&lt;&gt;"!#"),TRUE,FALSE)</f>
        <v>0</v>
      </c>
      <c r="I75">
        <f t="shared" ref="I75" si="122">I74</f>
        <v>6238</v>
      </c>
      <c r="J75">
        <f t="shared" si="77"/>
        <v>6238</v>
      </c>
      <c r="K75">
        <f t="shared" si="117"/>
        <v>5453</v>
      </c>
      <c r="L75">
        <f t="shared" si="118"/>
        <v>5453</v>
      </c>
      <c r="M75">
        <f t="shared" si="80"/>
        <v>0</v>
      </c>
      <c r="N75">
        <f t="shared" si="81"/>
        <v>0</v>
      </c>
      <c r="O75">
        <f t="shared" si="98"/>
        <v>0</v>
      </c>
      <c r="P75" t="str">
        <f>IF($G75=TRUE,"",P74)</f>
        <v/>
      </c>
      <c r="Q75" t="str">
        <f>IF($G75=TRUE,"!",Q74)</f>
        <v/>
      </c>
      <c r="R75" t="str">
        <f>IF($G75=TRUE,"#",R74)</f>
        <v/>
      </c>
      <c r="S75" t="str">
        <f>IF($G75=TRUE,"",S74)</f>
        <v>!#</v>
      </c>
      <c r="T75" t="str">
        <f t="shared" si="85"/>
        <v/>
      </c>
      <c r="U75" t="str">
        <f t="shared" si="92"/>
        <v/>
      </c>
      <c r="V75" t="str">
        <f t="shared" si="93"/>
        <v/>
      </c>
      <c r="W75" t="str">
        <f t="shared" si="86"/>
        <v>!#</v>
      </c>
    </row>
    <row r="76" spans="1:23" x14ac:dyDescent="0.3">
      <c r="A76">
        <v>1128</v>
      </c>
      <c r="H76" t="b">
        <f>IF(AND(G75=TRUE,K31 = K33),TRUE,FALSE)</f>
        <v>0</v>
      </c>
      <c r="I76">
        <f t="shared" ref="I76:W78" si="123">I75</f>
        <v>6238</v>
      </c>
      <c r="J76">
        <f t="shared" si="77"/>
        <v>6238</v>
      </c>
      <c r="K76">
        <f t="shared" si="117"/>
        <v>5453</v>
      </c>
      <c r="L76">
        <f t="shared" si="118"/>
        <v>5453</v>
      </c>
      <c r="M76">
        <f t="shared" si="80"/>
        <v>0</v>
      </c>
      <c r="N76">
        <f t="shared" si="81"/>
        <v>0</v>
      </c>
      <c r="O76">
        <f t="shared" si="98"/>
        <v>0</v>
      </c>
      <c r="P76" t="str">
        <f t="shared" ref="P76:P83" si="124">P75</f>
        <v/>
      </c>
      <c r="Q76" t="str">
        <f>IF($H76=TRUE,"",Q75)</f>
        <v/>
      </c>
      <c r="R76" t="str">
        <f>IF($H76=TRUE,"!#",R75)</f>
        <v/>
      </c>
      <c r="S76" t="str">
        <f t="shared" ref="S76:S83" si="125">S75</f>
        <v>!#</v>
      </c>
      <c r="T76" t="str">
        <f t="shared" si="85"/>
        <v/>
      </c>
      <c r="U76" t="str">
        <f t="shared" si="92"/>
        <v/>
      </c>
      <c r="V76" t="str">
        <f t="shared" si="93"/>
        <v/>
      </c>
      <c r="W76" t="str">
        <f t="shared" si="86"/>
        <v>!#</v>
      </c>
    </row>
    <row r="77" spans="1:23" x14ac:dyDescent="0.3">
      <c r="A77">
        <v>1134</v>
      </c>
      <c r="D77" t="b">
        <f>IF(AND(C42=TRUE,D53=FALSE),TRUE,FALSE)</f>
        <v>1</v>
      </c>
      <c r="I77">
        <f t="shared" si="123"/>
        <v>6238</v>
      </c>
      <c r="J77">
        <f t="shared" si="123"/>
        <v>6238</v>
      </c>
      <c r="K77">
        <f t="shared" si="123"/>
        <v>5453</v>
      </c>
      <c r="L77">
        <f t="shared" si="123"/>
        <v>5453</v>
      </c>
      <c r="M77">
        <f t="shared" si="123"/>
        <v>0</v>
      </c>
      <c r="N77">
        <f t="shared" si="123"/>
        <v>0</v>
      </c>
      <c r="O77">
        <f t="shared" si="123"/>
        <v>0</v>
      </c>
      <c r="P77" t="str">
        <f t="shared" si="123"/>
        <v/>
      </c>
      <c r="Q77" t="str">
        <f t="shared" si="123"/>
        <v/>
      </c>
      <c r="R77" t="str">
        <f t="shared" si="123"/>
        <v/>
      </c>
      <c r="S77" t="str">
        <f t="shared" si="123"/>
        <v>!#</v>
      </c>
      <c r="T77" t="str">
        <f t="shared" si="123"/>
        <v/>
      </c>
      <c r="U77" t="str">
        <f t="shared" si="123"/>
        <v/>
      </c>
      <c r="V77" t="str">
        <f t="shared" si="123"/>
        <v/>
      </c>
      <c r="W77" t="str">
        <f t="shared" si="123"/>
        <v>!#</v>
      </c>
    </row>
    <row r="78" spans="1:23" x14ac:dyDescent="0.3">
      <c r="A78">
        <v>1136</v>
      </c>
      <c r="E78" t="b">
        <f>IF(AND(D77=TRUE,K77 &gt;= K29),TRUE,FALSE)</f>
        <v>1</v>
      </c>
      <c r="I78">
        <f t="shared" si="123"/>
        <v>6238</v>
      </c>
      <c r="J78">
        <f t="shared" si="123"/>
        <v>6238</v>
      </c>
      <c r="K78">
        <f t="shared" si="123"/>
        <v>5453</v>
      </c>
      <c r="L78">
        <f t="shared" si="123"/>
        <v>5453</v>
      </c>
      <c r="M78">
        <f t="shared" si="123"/>
        <v>0</v>
      </c>
      <c r="N78">
        <f t="shared" si="123"/>
        <v>0</v>
      </c>
      <c r="O78">
        <f t="shared" si="123"/>
        <v>0</v>
      </c>
      <c r="P78" t="str">
        <f t="shared" si="123"/>
        <v/>
      </c>
      <c r="Q78" t="str">
        <f t="shared" si="123"/>
        <v/>
      </c>
      <c r="R78" t="str">
        <f t="shared" si="123"/>
        <v/>
      </c>
      <c r="S78" t="str">
        <f t="shared" si="123"/>
        <v>!#</v>
      </c>
      <c r="T78" t="str">
        <f t="shared" si="123"/>
        <v/>
      </c>
      <c r="U78" t="str">
        <f t="shared" si="123"/>
        <v/>
      </c>
      <c r="V78" t="str">
        <f t="shared" si="123"/>
        <v/>
      </c>
      <c r="W78" t="str">
        <f t="shared" si="123"/>
        <v>!#</v>
      </c>
    </row>
    <row r="79" spans="1:23" x14ac:dyDescent="0.3">
      <c r="A79">
        <v>1137</v>
      </c>
      <c r="F79" t="b">
        <f>IF(AND(E78=TRUE,L78 &lt; K78),TRUE,FALSE)</f>
        <v>0</v>
      </c>
      <c r="I79">
        <f t="shared" ref="I79" si="126">I76</f>
        <v>6238</v>
      </c>
      <c r="J79">
        <f t="shared" ref="J79:W79" si="127">J76</f>
        <v>6238</v>
      </c>
      <c r="K79">
        <f t="shared" si="127"/>
        <v>5453</v>
      </c>
      <c r="L79">
        <f t="shared" si="127"/>
        <v>5453</v>
      </c>
      <c r="M79">
        <f t="shared" si="127"/>
        <v>0</v>
      </c>
      <c r="N79">
        <f t="shared" si="127"/>
        <v>0</v>
      </c>
      <c r="O79">
        <f t="shared" si="127"/>
        <v>0</v>
      </c>
      <c r="P79" t="str">
        <f t="shared" si="127"/>
        <v/>
      </c>
      <c r="Q79" t="str">
        <f t="shared" si="127"/>
        <v/>
      </c>
      <c r="R79" t="str">
        <f t="shared" si="127"/>
        <v/>
      </c>
      <c r="S79" t="str">
        <f t="shared" si="127"/>
        <v>!#</v>
      </c>
      <c r="T79" t="str">
        <f t="shared" si="127"/>
        <v/>
      </c>
      <c r="U79" t="str">
        <f t="shared" si="127"/>
        <v/>
      </c>
      <c r="V79" t="str">
        <f t="shared" si="127"/>
        <v/>
      </c>
      <c r="W79" t="str">
        <f t="shared" si="127"/>
        <v>!#</v>
      </c>
    </row>
    <row r="80" spans="1:23" x14ac:dyDescent="0.3">
      <c r="A80">
        <v>1138</v>
      </c>
      <c r="G80" t="b">
        <f>IF(AND(F79=TRUE,L79 &gt; K31),TRUE,FALSE)</f>
        <v>0</v>
      </c>
      <c r="I80">
        <f t="shared" ref="I80" si="128">I79</f>
        <v>6238</v>
      </c>
      <c r="J80">
        <f t="shared" si="77"/>
        <v>6238</v>
      </c>
      <c r="K80">
        <f t="shared" si="117"/>
        <v>5453</v>
      </c>
      <c r="L80">
        <f>IF($G80=TRUE,K31,L79)</f>
        <v>5453</v>
      </c>
      <c r="M80">
        <f t="shared" si="80"/>
        <v>0</v>
      </c>
      <c r="N80">
        <f t="shared" si="81"/>
        <v>0</v>
      </c>
      <c r="O80">
        <f>IF($G80=TRUE,1,O79)</f>
        <v>0</v>
      </c>
      <c r="P80" t="str">
        <f t="shared" si="124"/>
        <v/>
      </c>
      <c r="Q80" t="str">
        <f t="shared" ref="Q80:Q83" si="129">Q79</f>
        <v/>
      </c>
      <c r="R80" t="str">
        <f t="shared" ref="R80:R83" si="130">R79</f>
        <v/>
      </c>
      <c r="S80" t="str">
        <f t="shared" si="125"/>
        <v>!#</v>
      </c>
      <c r="T80" t="str">
        <f t="shared" si="85"/>
        <v/>
      </c>
      <c r="U80" t="str">
        <f t="shared" si="92"/>
        <v/>
      </c>
      <c r="V80" t="str">
        <f t="shared" si="93"/>
        <v/>
      </c>
      <c r="W80" t="str">
        <f t="shared" si="86"/>
        <v>!#</v>
      </c>
    </row>
    <row r="81" spans="1:23" x14ac:dyDescent="0.3">
      <c r="A81">
        <v>1140</v>
      </c>
      <c r="G81" t="b">
        <f>IF(AND(F79=TRUE,G80=FALSE),TRUE,FALSE)</f>
        <v>0</v>
      </c>
      <c r="I81">
        <f t="shared" ref="I81" si="131">I80</f>
        <v>6238</v>
      </c>
      <c r="J81">
        <f t="shared" si="77"/>
        <v>6238</v>
      </c>
      <c r="K81">
        <f t="shared" si="117"/>
        <v>5453</v>
      </c>
      <c r="L81">
        <f t="shared" ref="L81:L84" si="132">L80</f>
        <v>5453</v>
      </c>
      <c r="M81">
        <f t="shared" si="80"/>
        <v>0</v>
      </c>
      <c r="N81">
        <f t="shared" si="81"/>
        <v>0</v>
      </c>
      <c r="O81">
        <f>IF($G81=TRUE,2,O80)</f>
        <v>0</v>
      </c>
      <c r="P81" t="str">
        <f t="shared" si="124"/>
        <v/>
      </c>
      <c r="Q81" t="str">
        <f t="shared" si="129"/>
        <v/>
      </c>
      <c r="R81" t="str">
        <f t="shared" si="130"/>
        <v/>
      </c>
      <c r="S81" t="str">
        <f t="shared" si="125"/>
        <v>!#</v>
      </c>
      <c r="T81" t="str">
        <f t="shared" si="85"/>
        <v/>
      </c>
      <c r="U81" t="str">
        <f t="shared" si="92"/>
        <v/>
      </c>
      <c r="V81" t="str">
        <f t="shared" si="93"/>
        <v/>
      </c>
      <c r="W81" t="str">
        <f t="shared" si="86"/>
        <v>!#</v>
      </c>
    </row>
    <row r="82" spans="1:23" x14ac:dyDescent="0.3">
      <c r="A82">
        <v>1143</v>
      </c>
      <c r="F82" t="b">
        <f>IF(AND(E78=TRUE,F79=FALSE),TRUE,FALSE)</f>
        <v>1</v>
      </c>
      <c r="I82">
        <f t="shared" ref="I82" si="133">I81</f>
        <v>6238</v>
      </c>
      <c r="J82">
        <f t="shared" si="77"/>
        <v>6238</v>
      </c>
      <c r="K82">
        <f t="shared" si="117"/>
        <v>5453</v>
      </c>
      <c r="L82">
        <f t="shared" si="132"/>
        <v>5453</v>
      </c>
      <c r="M82">
        <f t="shared" si="80"/>
        <v>0</v>
      </c>
      <c r="N82">
        <f t="shared" si="81"/>
        <v>0</v>
      </c>
      <c r="O82">
        <f>IF($F82=TRUE,0,O81)</f>
        <v>0</v>
      </c>
      <c r="P82" t="str">
        <f t="shared" si="124"/>
        <v/>
      </c>
      <c r="Q82" t="str">
        <f t="shared" si="129"/>
        <v/>
      </c>
      <c r="R82" t="str">
        <f t="shared" si="130"/>
        <v/>
      </c>
      <c r="S82" t="str">
        <f t="shared" si="125"/>
        <v>!#</v>
      </c>
      <c r="T82" t="str">
        <f t="shared" si="85"/>
        <v/>
      </c>
      <c r="U82" t="str">
        <f t="shared" si="92"/>
        <v/>
      </c>
      <c r="V82" t="str">
        <f t="shared" si="93"/>
        <v/>
      </c>
      <c r="W82" t="str">
        <f t="shared" si="86"/>
        <v>!#</v>
      </c>
    </row>
    <row r="83" spans="1:23" x14ac:dyDescent="0.3">
      <c r="A83">
        <v>1146</v>
      </c>
      <c r="F83" t="b">
        <f>IF(AND(E78=TRUE,OR(S82 = "!#",AND(S82 = "#",K28 = K30))),TRUE,FALSE)</f>
        <v>1</v>
      </c>
      <c r="I83">
        <f t="shared" ref="I83" si="134">I82</f>
        <v>6238</v>
      </c>
      <c r="J83">
        <f t="shared" si="77"/>
        <v>6238</v>
      </c>
      <c r="K83">
        <f>IF($F83=TRUE,K31,K82)</f>
        <v>239</v>
      </c>
      <c r="L83">
        <f t="shared" si="132"/>
        <v>5453</v>
      </c>
      <c r="M83">
        <f t="shared" si="80"/>
        <v>0</v>
      </c>
      <c r="N83">
        <f t="shared" si="81"/>
        <v>0</v>
      </c>
      <c r="O83">
        <f t="shared" ref="O83:O91" si="135">O82</f>
        <v>0</v>
      </c>
      <c r="P83" t="str">
        <f t="shared" si="124"/>
        <v/>
      </c>
      <c r="Q83" t="str">
        <f t="shared" si="129"/>
        <v/>
      </c>
      <c r="R83" t="str">
        <f t="shared" si="130"/>
        <v/>
      </c>
      <c r="S83" t="str">
        <f t="shared" si="125"/>
        <v>!#</v>
      </c>
      <c r="T83" t="str">
        <f t="shared" si="85"/>
        <v/>
      </c>
      <c r="U83" t="str">
        <f t="shared" si="92"/>
        <v/>
      </c>
      <c r="V83" t="str">
        <f t="shared" si="93"/>
        <v/>
      </c>
      <c r="W83" t="str">
        <f t="shared" si="86"/>
        <v>!#</v>
      </c>
    </row>
    <row r="84" spans="1:23" x14ac:dyDescent="0.3">
      <c r="A84">
        <v>1148</v>
      </c>
      <c r="G84" t="b">
        <f>IF(AND(F83=TRUE,O83 = 2),TRUE,FALSE)</f>
        <v>0</v>
      </c>
      <c r="I84">
        <f t="shared" ref="I84" si="136">I83</f>
        <v>6238</v>
      </c>
      <c r="J84">
        <f t="shared" si="77"/>
        <v>6238</v>
      </c>
      <c r="K84">
        <f t="shared" ref="K84:K85" si="137">K83</f>
        <v>239</v>
      </c>
      <c r="L84">
        <f t="shared" si="132"/>
        <v>5453</v>
      </c>
      <c r="M84">
        <f t="shared" si="80"/>
        <v>0</v>
      </c>
      <c r="N84">
        <f t="shared" si="81"/>
        <v>0</v>
      </c>
      <c r="O84">
        <f t="shared" si="135"/>
        <v>0</v>
      </c>
      <c r="P84" t="str">
        <f>IF($G84=TRUE,"",P83)</f>
        <v/>
      </c>
      <c r="Q84" t="str">
        <f>IF($G84=TRUE,"",Q83)</f>
        <v/>
      </c>
      <c r="R84" t="str">
        <f>IF($G84=TRUE,"!",R83)</f>
        <v/>
      </c>
      <c r="S84" t="str">
        <f>IF($G84=TRUE,"#",S83)</f>
        <v>!#</v>
      </c>
      <c r="T84" t="str">
        <f t="shared" si="85"/>
        <v/>
      </c>
      <c r="U84" t="str">
        <f t="shared" si="92"/>
        <v/>
      </c>
      <c r="V84" t="str">
        <f t="shared" si="93"/>
        <v/>
      </c>
      <c r="W84" t="str">
        <f t="shared" si="86"/>
        <v>!#</v>
      </c>
    </row>
    <row r="85" spans="1:23" x14ac:dyDescent="0.3">
      <c r="A85">
        <v>1150</v>
      </c>
      <c r="G85" t="b">
        <f>IF(AND(F83=TRUE,G84=FALSE),TRUE,FALSE)</f>
        <v>1</v>
      </c>
      <c r="I85">
        <f t="shared" ref="I85" si="138">I84</f>
        <v>6238</v>
      </c>
      <c r="J85">
        <f t="shared" si="77"/>
        <v>6238</v>
      </c>
      <c r="K85">
        <f t="shared" si="137"/>
        <v>239</v>
      </c>
      <c r="L85">
        <f>IF($G85=TRUE,K31,L84)</f>
        <v>239</v>
      </c>
      <c r="M85">
        <f t="shared" si="80"/>
        <v>0</v>
      </c>
      <c r="N85">
        <f t="shared" si="81"/>
        <v>0</v>
      </c>
      <c r="O85">
        <f t="shared" si="135"/>
        <v>0</v>
      </c>
      <c r="P85" t="str">
        <f>IF($G85=TRUE,"",P84)</f>
        <v/>
      </c>
      <c r="Q85" t="str">
        <f>IF($G85=TRUE,"",Q84)</f>
        <v/>
      </c>
      <c r="R85" t="str">
        <f>IF($G85=TRUE,"!#",R84)</f>
        <v>!#</v>
      </c>
      <c r="S85" t="str">
        <f>IF($G85=TRUE,"",S84)</f>
        <v/>
      </c>
      <c r="T85" t="str">
        <f t="shared" si="85"/>
        <v/>
      </c>
      <c r="U85" t="str">
        <f t="shared" si="92"/>
        <v/>
      </c>
      <c r="V85" t="str">
        <f t="shared" si="93"/>
        <v/>
      </c>
      <c r="W85" t="str">
        <f t="shared" si="86"/>
        <v>!#</v>
      </c>
    </row>
    <row r="86" spans="1:23" x14ac:dyDescent="0.3">
      <c r="A86">
        <v>1154</v>
      </c>
      <c r="F86" t="b">
        <f>IF(AND(E78=TRUE,F83=FALSE,S85 = "#"),TRUE,FALSE)</f>
        <v>0</v>
      </c>
      <c r="I86">
        <f t="shared" ref="I86" si="139">I85</f>
        <v>6238</v>
      </c>
      <c r="J86">
        <f t="shared" si="77"/>
        <v>6238</v>
      </c>
      <c r="K86">
        <f>IF($F86=TRUE,K29,K85)</f>
        <v>239</v>
      </c>
      <c r="L86">
        <f t="shared" ref="L86" si="140">L85</f>
        <v>239</v>
      </c>
      <c r="M86">
        <f t="shared" si="80"/>
        <v>0</v>
      </c>
      <c r="N86">
        <f t="shared" si="81"/>
        <v>0</v>
      </c>
      <c r="O86">
        <f t="shared" si="135"/>
        <v>0</v>
      </c>
      <c r="P86" t="str">
        <f t="shared" ref="P86" si="141">P85</f>
        <v/>
      </c>
      <c r="Q86" t="str">
        <f t="shared" ref="Q86" si="142">Q85</f>
        <v/>
      </c>
      <c r="R86" t="str">
        <f t="shared" ref="R86" si="143">R85</f>
        <v>!#</v>
      </c>
      <c r="S86" t="str">
        <f t="shared" ref="S86" si="144">S85</f>
        <v/>
      </c>
      <c r="T86" t="str">
        <f t="shared" si="85"/>
        <v/>
      </c>
      <c r="U86" t="str">
        <f t="shared" si="92"/>
        <v/>
      </c>
      <c r="V86" t="str">
        <f t="shared" si="93"/>
        <v/>
      </c>
      <c r="W86" t="str">
        <f t="shared" si="86"/>
        <v>!#</v>
      </c>
    </row>
    <row r="87" spans="1:23" x14ac:dyDescent="0.3">
      <c r="A87">
        <v>1156</v>
      </c>
      <c r="G87" t="b">
        <f>IF(AND(F86=TRUE,O86 &lt; 2),TRUE,FALSE)</f>
        <v>0</v>
      </c>
      <c r="I87">
        <f t="shared" ref="I87" si="145">I86</f>
        <v>6238</v>
      </c>
      <c r="J87">
        <f t="shared" si="77"/>
        <v>6238</v>
      </c>
      <c r="K87">
        <f t="shared" ref="K87" si="146">K86</f>
        <v>239</v>
      </c>
      <c r="L87">
        <f>IF($G87=TRUE,K31,L86)</f>
        <v>239</v>
      </c>
      <c r="M87">
        <f t="shared" si="80"/>
        <v>0</v>
      </c>
      <c r="N87">
        <f t="shared" si="81"/>
        <v>0</v>
      </c>
      <c r="O87">
        <f t="shared" si="135"/>
        <v>0</v>
      </c>
      <c r="P87" t="str">
        <f>IF($G87=TRUE,"",P86)</f>
        <v/>
      </c>
      <c r="Q87" t="str">
        <f>IF($G87=TRUE,"!",Q86)</f>
        <v/>
      </c>
      <c r="R87" t="str">
        <f>IF($G87=TRUE,"#",R86)</f>
        <v>!#</v>
      </c>
      <c r="S87" t="str">
        <f>IF($G87=TRUE,"",S86)</f>
        <v/>
      </c>
      <c r="T87" t="str">
        <f t="shared" si="85"/>
        <v/>
      </c>
      <c r="U87" t="str">
        <f t="shared" si="92"/>
        <v/>
      </c>
      <c r="V87" t="str">
        <f t="shared" si="93"/>
        <v/>
      </c>
      <c r="W87" t="str">
        <f t="shared" si="86"/>
        <v>!#</v>
      </c>
    </row>
    <row r="88" spans="1:23" x14ac:dyDescent="0.3">
      <c r="A88">
        <v>1160</v>
      </c>
      <c r="F88" t="b">
        <f>IF(AND(E78=TRUE,F83=FALSE,F86=FALSE),TRUE,FALSE)</f>
        <v>0</v>
      </c>
      <c r="I88">
        <f t="shared" ref="I88" si="147">I87</f>
        <v>6238</v>
      </c>
      <c r="J88">
        <f t="shared" si="77"/>
        <v>6238</v>
      </c>
      <c r="K88">
        <f>IF($F88=TRUE,$K29,K87)</f>
        <v>239</v>
      </c>
      <c r="L88">
        <f>IF($F88=TRUE,$K29,L87)</f>
        <v>239</v>
      </c>
      <c r="M88">
        <f t="shared" si="80"/>
        <v>0</v>
      </c>
      <c r="N88">
        <f t="shared" si="81"/>
        <v>0</v>
      </c>
      <c r="O88">
        <f t="shared" si="135"/>
        <v>0</v>
      </c>
      <c r="P88" t="str">
        <f t="shared" ref="P88" si="148">P87</f>
        <v/>
      </c>
      <c r="Q88" t="str">
        <f t="shared" ref="Q88" si="149">Q87</f>
        <v/>
      </c>
      <c r="R88" t="str">
        <f t="shared" ref="R88" si="150">R87</f>
        <v>!#</v>
      </c>
      <c r="S88" t="str">
        <f t="shared" ref="S88" si="151">S87</f>
        <v/>
      </c>
      <c r="T88" t="str">
        <f t="shared" si="85"/>
        <v/>
      </c>
      <c r="U88" t="str">
        <f t="shared" si="92"/>
        <v/>
      </c>
      <c r="V88" t="str">
        <f t="shared" si="93"/>
        <v/>
      </c>
      <c r="W88" t="str">
        <f t="shared" si="86"/>
        <v>!#</v>
      </c>
    </row>
    <row r="89" spans="1:23" x14ac:dyDescent="0.3">
      <c r="A89">
        <v>1163</v>
      </c>
      <c r="G89" t="b">
        <f>IF(AND(F88=TRUE,P88 = "!#"),TRUE,FALSE)</f>
        <v>0</v>
      </c>
      <c r="I89">
        <f t="shared" ref="I89" si="152">I88</f>
        <v>6238</v>
      </c>
      <c r="J89">
        <f t="shared" si="77"/>
        <v>6238</v>
      </c>
      <c r="K89">
        <f t="shared" ref="K89:K91" si="153">K88</f>
        <v>239</v>
      </c>
      <c r="L89">
        <f t="shared" ref="L89:L91" si="154">L88</f>
        <v>239</v>
      </c>
      <c r="M89">
        <f t="shared" si="80"/>
        <v>0</v>
      </c>
      <c r="N89">
        <f t="shared" si="81"/>
        <v>0</v>
      </c>
      <c r="O89">
        <f t="shared" si="135"/>
        <v>0</v>
      </c>
      <c r="P89" t="str">
        <f>IF($G89=TRUE,"",P88)</f>
        <v/>
      </c>
      <c r="Q89" t="str">
        <f>IF($G89=TRUE,"!#",Q88)</f>
        <v/>
      </c>
      <c r="R89" t="str">
        <f>IF($G89=TRUE,"",R88)</f>
        <v>!#</v>
      </c>
      <c r="S89" t="str">
        <f>IF($G89=TRUE,"",S88)</f>
        <v/>
      </c>
      <c r="T89" t="str">
        <f t="shared" si="85"/>
        <v/>
      </c>
      <c r="U89" t="str">
        <f t="shared" si="92"/>
        <v/>
      </c>
      <c r="V89" t="str">
        <f t="shared" si="93"/>
        <v/>
      </c>
      <c r="W89" t="str">
        <f t="shared" si="86"/>
        <v>!#</v>
      </c>
    </row>
    <row r="90" spans="1:23" x14ac:dyDescent="0.3">
      <c r="A90">
        <v>1166</v>
      </c>
      <c r="H90" t="b">
        <f>IF(AND(G89=TRUE,K29 = K31),TRUE,FALSE)</f>
        <v>0</v>
      </c>
      <c r="I90">
        <f t="shared" ref="I90" si="155">I89</f>
        <v>6238</v>
      </c>
      <c r="J90">
        <f t="shared" si="77"/>
        <v>6238</v>
      </c>
      <c r="K90">
        <f t="shared" si="153"/>
        <v>239</v>
      </c>
      <c r="L90">
        <f t="shared" si="154"/>
        <v>239</v>
      </c>
      <c r="M90">
        <f t="shared" si="80"/>
        <v>0</v>
      </c>
      <c r="N90">
        <f t="shared" si="81"/>
        <v>0</v>
      </c>
      <c r="O90">
        <f t="shared" si="135"/>
        <v>0</v>
      </c>
      <c r="P90" t="str">
        <f t="shared" ref="P90" si="156">P89</f>
        <v/>
      </c>
      <c r="Q90" t="str">
        <f>IF($H90=TRUE,"",Q89)</f>
        <v/>
      </c>
      <c r="R90" t="str">
        <f>IF($H90=TRUE,"!#",R89)</f>
        <v>!#</v>
      </c>
      <c r="S90" t="str">
        <f t="shared" ref="S90" si="157">S89</f>
        <v/>
      </c>
      <c r="T90" t="str">
        <f t="shared" si="85"/>
        <v/>
      </c>
      <c r="U90" t="str">
        <f t="shared" si="92"/>
        <v/>
      </c>
      <c r="V90" t="str">
        <f t="shared" si="93"/>
        <v/>
      </c>
      <c r="W90" t="str">
        <f t="shared" si="86"/>
        <v>!#</v>
      </c>
    </row>
    <row r="91" spans="1:23" x14ac:dyDescent="0.3">
      <c r="A91">
        <v>1169</v>
      </c>
      <c r="G91" t="b">
        <f>IF(AND(F88=TRUE,G89=FALSE,P90 = "!"),TRUE,FALSE)</f>
        <v>0</v>
      </c>
      <c r="I91">
        <f t="shared" ref="I91:I92" si="158">I90</f>
        <v>6238</v>
      </c>
      <c r="J91">
        <f t="shared" si="77"/>
        <v>6238</v>
      </c>
      <c r="K91">
        <f t="shared" si="153"/>
        <v>239</v>
      </c>
      <c r="L91">
        <f t="shared" si="154"/>
        <v>239</v>
      </c>
      <c r="M91">
        <f t="shared" si="80"/>
        <v>0</v>
      </c>
      <c r="N91">
        <f t="shared" si="81"/>
        <v>0</v>
      </c>
      <c r="O91">
        <f t="shared" si="135"/>
        <v>0</v>
      </c>
      <c r="P91" t="str">
        <f>IF($G91=TRUE,"",P90)</f>
        <v/>
      </c>
      <c r="Q91" t="str">
        <f>IF($G91=TRUE,"!",Q90)</f>
        <v/>
      </c>
      <c r="R91" t="str">
        <f>IF($G91=TRUE,"#",R90)</f>
        <v>!#</v>
      </c>
      <c r="S91" t="str">
        <f>IF($G91=TRUE,"",S90)</f>
        <v/>
      </c>
      <c r="T91" t="str">
        <f t="shared" si="85"/>
        <v/>
      </c>
      <c r="U91" t="str">
        <f t="shared" si="92"/>
        <v/>
      </c>
      <c r="V91" t="str">
        <f t="shared" si="93"/>
        <v/>
      </c>
      <c r="W91" t="str">
        <f t="shared" si="86"/>
        <v>!#</v>
      </c>
    </row>
    <row r="92" spans="1:23" x14ac:dyDescent="0.3">
      <c r="A92">
        <v>1172</v>
      </c>
      <c r="H92" t="b">
        <f>IF(AND(G91=TRUE,K29 = K31),TRUE,FALSE)</f>
        <v>0</v>
      </c>
      <c r="I92">
        <f t="shared" si="158"/>
        <v>6238</v>
      </c>
      <c r="J92">
        <f t="shared" ref="J92" si="159">J91</f>
        <v>6238</v>
      </c>
      <c r="K92">
        <f t="shared" ref="K92" si="160">K91</f>
        <v>239</v>
      </c>
      <c r="L92">
        <f t="shared" ref="L92" si="161">L91</f>
        <v>239</v>
      </c>
      <c r="M92">
        <f t="shared" ref="M92" si="162">M91</f>
        <v>0</v>
      </c>
      <c r="N92">
        <f t="shared" ref="N92:N93" si="163">N91</f>
        <v>0</v>
      </c>
      <c r="O92">
        <f t="shared" ref="O92:O94" si="164">O91</f>
        <v>0</v>
      </c>
      <c r="P92" t="str">
        <f t="shared" ref="P92:P94" si="165">P91</f>
        <v/>
      </c>
      <c r="Q92" t="str">
        <f>IF($H92=TRUE,"",Q91)</f>
        <v/>
      </c>
      <c r="R92" t="str">
        <f>IF($H92=TRUE,"!#",R91)</f>
        <v>!#</v>
      </c>
      <c r="S92" t="str">
        <f t="shared" ref="S92:S94" si="166">S91</f>
        <v/>
      </c>
      <c r="T92" t="str">
        <f t="shared" ref="T92:T94" si="167">T91</f>
        <v/>
      </c>
      <c r="U92" t="str">
        <f t="shared" ref="U92" si="168">U91</f>
        <v/>
      </c>
      <c r="V92" t="str">
        <f t="shared" ref="V92:V93" si="169">V91</f>
        <v/>
      </c>
      <c r="W92" t="str">
        <f t="shared" ref="W92:W94" si="170">W91</f>
        <v>!#</v>
      </c>
    </row>
    <row r="93" spans="1:23" x14ac:dyDescent="0.3">
      <c r="A93">
        <v>1180</v>
      </c>
      <c r="B93" t="b">
        <f>IF(OR('main calculation sheet'!B57 = 0,AND('main calculation sheet'!B57 = 1,'main calculation sheet'!B28 = 2)),FALSE,TRUE)</f>
        <v>0</v>
      </c>
      <c r="I93">
        <f>IF($B93=TRUE,$K28,I92)</f>
        <v>6238</v>
      </c>
      <c r="J93">
        <f>IF($B93=TRUE,$K28,J92)</f>
        <v>6238</v>
      </c>
      <c r="K93">
        <f>IF($B93=TRUE,$K29,K92)</f>
        <v>239</v>
      </c>
      <c r="L93">
        <f>IF($B93=TRUE,$K29,L92)</f>
        <v>239</v>
      </c>
      <c r="M93">
        <f t="shared" ref="M93:M94" si="171">M92</f>
        <v>0</v>
      </c>
      <c r="N93">
        <f t="shared" si="163"/>
        <v>0</v>
      </c>
      <c r="O93">
        <f t="shared" si="164"/>
        <v>0</v>
      </c>
      <c r="P93" t="str">
        <f t="shared" si="165"/>
        <v/>
      </c>
      <c r="Q93" t="str">
        <f>IF($B93=TRUE,"!#",Q92)</f>
        <v/>
      </c>
      <c r="R93" t="str">
        <f t="shared" ref="R93" si="172">R92</f>
        <v>!#</v>
      </c>
      <c r="S93" t="str">
        <f t="shared" si="166"/>
        <v/>
      </c>
      <c r="T93" t="str">
        <f t="shared" si="167"/>
        <v/>
      </c>
      <c r="U93" t="str">
        <f>IF($B93=TRUE,"!#",U92)</f>
        <v/>
      </c>
      <c r="V93" t="str">
        <f t="shared" si="169"/>
        <v/>
      </c>
      <c r="W93" t="str">
        <f t="shared" si="170"/>
        <v>!#</v>
      </c>
    </row>
    <row r="94" spans="1:23" x14ac:dyDescent="0.3">
      <c r="A94">
        <v>1186</v>
      </c>
      <c r="C94" t="b">
        <f>IF(AND(B93=TRUE,K29 = K31),TRUE,FALSE)</f>
        <v>0</v>
      </c>
      <c r="I94">
        <f t="shared" ref="I94" si="173">I93</f>
        <v>6238</v>
      </c>
      <c r="J94">
        <f t="shared" ref="J94" si="174">J93</f>
        <v>6238</v>
      </c>
      <c r="K94">
        <f t="shared" ref="K94" si="175">K93</f>
        <v>239</v>
      </c>
      <c r="L94">
        <f t="shared" ref="L94" si="176">L93</f>
        <v>239</v>
      </c>
      <c r="M94">
        <f t="shared" si="171"/>
        <v>0</v>
      </c>
      <c r="N94">
        <f t="shared" ref="N94" si="177">N93</f>
        <v>0</v>
      </c>
      <c r="O94">
        <f t="shared" si="164"/>
        <v>0</v>
      </c>
      <c r="P94" t="str">
        <f t="shared" si="165"/>
        <v/>
      </c>
      <c r="Q94" t="str">
        <f>IF($C94=TRUE,"",Q93)</f>
        <v/>
      </c>
      <c r="R94" t="str">
        <f>IF($C94=TRUE,"!#",R93)</f>
        <v>!#</v>
      </c>
      <c r="S94" t="str">
        <f t="shared" si="166"/>
        <v/>
      </c>
      <c r="T94" t="str">
        <f t="shared" si="167"/>
        <v/>
      </c>
      <c r="U94" t="str">
        <f>IF($C94=TRUE,"",U93)</f>
        <v/>
      </c>
      <c r="V94" t="str">
        <f>IF($C94=TRUE,"!#",V93)</f>
        <v/>
      </c>
      <c r="W94" t="str">
        <f t="shared" si="170"/>
        <v>!#</v>
      </c>
    </row>
    <row r="95" spans="1:23" x14ac:dyDescent="0.3">
      <c r="I95" t="s">
        <v>512</v>
      </c>
      <c r="J95" t="s">
        <v>367</v>
      </c>
      <c r="K95" t="s">
        <v>513</v>
      </c>
      <c r="L95" t="s">
        <v>366</v>
      </c>
      <c r="M95" t="s">
        <v>506</v>
      </c>
      <c r="N95" t="s">
        <v>514</v>
      </c>
      <c r="O95" t="s">
        <v>515</v>
      </c>
      <c r="P95" t="s">
        <v>604</v>
      </c>
      <c r="Q95" t="s">
        <v>605</v>
      </c>
      <c r="R95" t="s">
        <v>607</v>
      </c>
      <c r="S95" t="s">
        <v>610</v>
      </c>
      <c r="T95" t="s">
        <v>608</v>
      </c>
      <c r="U95" t="s">
        <v>603</v>
      </c>
      <c r="V95" t="s">
        <v>606</v>
      </c>
      <c r="W95" t="s">
        <v>609</v>
      </c>
    </row>
    <row r="101" spans="1:4" x14ac:dyDescent="0.3">
      <c r="A101" t="s">
        <v>615</v>
      </c>
      <c r="B101">
        <f>IF(OR('main calculation sheet'!B57 = 0,AND('main calculation sheet'!B57 = 1,'main calculation sheet'!B28 = 2)),2,IF(AND('Ins&amp;Outs'!B27 &gt;= K94,'Ins&amp;Outs'!B27 &lt; I94),1,2))</f>
        <v>2</v>
      </c>
      <c r="D101" s="3"/>
    </row>
    <row r="102" spans="1:4" x14ac:dyDescent="0.3">
      <c r="A102" t="s">
        <v>617</v>
      </c>
      <c r="B102">
        <f>IF('Ins&amp;Outs'!B27 &lt; K94,0,B101)</f>
        <v>2</v>
      </c>
      <c r="D102" s="3"/>
    </row>
    <row r="103" spans="1:4" x14ac:dyDescent="0.3">
      <c r="A103" t="s">
        <v>618</v>
      </c>
      <c r="B103">
        <f>IF(OR('main calculation sheet'!B57 = 0,AND('main calculation sheet'!B57 = 1,'main calculation sheet'!B28 = 2)),IF(AND('Ins&amp;Outs'!B27 &gt;= K94,'Ins&amp;Outs'!B27 &lt; I94),1,B102),B102)</f>
        <v>1</v>
      </c>
      <c r="D103" s="3"/>
    </row>
    <row r="104" spans="1:4" x14ac:dyDescent="0.3">
      <c r="A104" t="s">
        <v>616</v>
      </c>
      <c r="B104">
        <f>IF(OR('main calculation sheet'!B57 = 0,AND('main calculation sheet'!B57 = 1,'main calculation sheet'!B28 = 2)),B103,IF(AND('Ins&amp;Outs'!B27 &gt;= K29,'Ins&amp;Outs'!B27 &lt; K28),1,B103))</f>
        <v>1</v>
      </c>
      <c r="D104" s="3"/>
    </row>
    <row r="105" spans="1:4" x14ac:dyDescent="0.3">
      <c r="A105" t="s">
        <v>516</v>
      </c>
      <c r="B105">
        <f>IF(AND('main calculation sheet'!B57 = 1,'main calculation sheet'!B28 &lt;&gt; 2,'Ins&amp;Outs'!B27 &gt;= K29),K94,I94)</f>
        <v>6238</v>
      </c>
      <c r="D105" s="3"/>
    </row>
    <row r="106" spans="1:4" x14ac:dyDescent="0.3">
      <c r="A106" t="s">
        <v>622</v>
      </c>
      <c r="B106">
        <f>IF('Ins&amp;Outs'!B27 &lt; K94,-1,0)</f>
        <v>0</v>
      </c>
      <c r="D106" s="3"/>
    </row>
    <row r="107" spans="1:4" x14ac:dyDescent="0.3">
      <c r="A107" t="s">
        <v>623</v>
      </c>
      <c r="B107">
        <f>IF(OR('main calculation sheet'!B57 = 0,AND('main calculation sheet'!B57 = 1,'main calculation sheet'!B28 = 2)),IF(AND('Ins&amp;Outs'!B27 &gt;= K94,'Ins&amp;Outs'!B27 &lt; I94),B17 * ('Ins&amp;Outs'!B27 - K94)/(I94 - K94),B106),B106)</f>
        <v>2.7254542423737291</v>
      </c>
      <c r="D107" s="3"/>
    </row>
    <row r="108" spans="1:4" x14ac:dyDescent="0.3">
      <c r="A108" t="s">
        <v>624</v>
      </c>
      <c r="B108">
        <f>IF(OR('main calculation sheet'!B57 = 1,'Ins&amp;Outs'!B30 &gt; 15),IF('Ins&amp;Outs'!B30 &lt;= 0.005,0,'Ins&amp;Outs'!B30 - DEFLECCALC!B10),'Ins&amp;Outs'!B30)</f>
        <v>28.105808236961941</v>
      </c>
    </row>
    <row r="109" spans="1:4" x14ac:dyDescent="0.3">
      <c r="A109" t="s">
        <v>625</v>
      </c>
      <c r="B109">
        <f>IF(OR('main calculation sheet'!B57 = 1,'Ins&amp;Outs'!B30 &gt; 15),IF('Ins&amp;Outs'!B30 &lt;= 0.005,0,IF('main calculation sheet'!B57 = 1,'Ins&amp;Outs'!B30 - DEFLECCALC!B21,B17)),'Ins&amp;Outs'!B30)</f>
        <v>15</v>
      </c>
    </row>
    <row r="110" spans="1:4" x14ac:dyDescent="0.3">
      <c r="A110" t="s">
        <v>518</v>
      </c>
      <c r="B110">
        <f>IF('Ins&amp;Outs'!B27 &lt; K94,-1,B108 / 57.29578)</f>
        <v>0.49053888850037369</v>
      </c>
      <c r="D110" s="3"/>
    </row>
    <row r="111" spans="1:4" x14ac:dyDescent="0.3">
      <c r="A111" t="s">
        <v>519</v>
      </c>
      <c r="B111">
        <f>IF('Ins&amp;Outs'!B27 &lt; K94,-1,'Ins&amp;Outs'!B30 - B108)</f>
        <v>49.094191763038062</v>
      </c>
      <c r="D111" s="3"/>
    </row>
    <row r="112" spans="1:4" x14ac:dyDescent="0.3">
      <c r="A112" t="s">
        <v>619</v>
      </c>
      <c r="B112">
        <f>IF('Ins&amp;Outs'!B27 &lt; K94,IF(('Ins&amp;Outs'!B30 - B17) &gt; 45,('Ins&amp;Outs'!B30 - B17 - 45)/45,0),0)</f>
        <v>0</v>
      </c>
      <c r="D112" s="3"/>
    </row>
    <row r="113" spans="1:4" x14ac:dyDescent="0.3">
      <c r="A113" t="s">
        <v>620</v>
      </c>
      <c r="B113">
        <f>IF(AND(OR('main calculation sheet'!B57 = 0,AND('main calculation sheet'!B57 = 1,'main calculation sheet'!B28 = 2)),AND('Ins&amp;Outs'!B27 &gt;= K94,'Ins&amp;Outs'!B27 &lt; I94)),IF(('Ins&amp;Outs'!B30 - B17) &gt; 45,('Ins&amp;Outs'!B30 - B17 - 45)/45,0),B112)</f>
        <v>0.3822222222222223</v>
      </c>
      <c r="D113" s="3"/>
    </row>
    <row r="114" spans="1:4" x14ac:dyDescent="0.3">
      <c r="A114" t="s">
        <v>621</v>
      </c>
      <c r="B114">
        <f>IF(OR('main calculation sheet'!B57 = 1,'Ins&amp;Outs'!B30 &gt; 15),IF('Ins&amp;Outs'!B30 &lt;= 0.005,B113,DEFLECCALC!B9),B113)</f>
        <v>0.3822222222222223</v>
      </c>
    </row>
  </sheetData>
  <sheetProtection algorithmName="SHA-512" hashValue="KYyJHPEii3Acx3a0TjE6mZsqA1r6H3742byr1sK/NC4Q6IDXNy/p4vjOAdzPE3Fydjlt8IMxaTEcUyQ0aqTzyQ==" saltValue="8aqw4WwaafLxZUR34/o8Tg=="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D239-87BC-475A-9584-B3E62F3171F7}">
  <sheetPr codeName="Sheet33"/>
  <dimension ref="A1:Y121"/>
  <sheetViews>
    <sheetView workbookViewId="0">
      <selection activeCell="E43" sqref="E43"/>
    </sheetView>
  </sheetViews>
  <sheetFormatPr defaultRowHeight="14.4" x14ac:dyDescent="0.3"/>
  <cols>
    <col min="1" max="1" width="5" customWidth="1"/>
    <col min="2" max="3" width="4.6640625" bestFit="1" customWidth="1"/>
    <col min="4" max="5" width="6" bestFit="1" customWidth="1"/>
    <col min="6" max="6" width="4.6640625" bestFit="1" customWidth="1"/>
    <col min="7" max="7" width="2.33203125" customWidth="1"/>
    <col min="8" max="8" width="5.88671875" bestFit="1" customWidth="1"/>
    <col min="10" max="10" width="5.88671875" bestFit="1" customWidth="1"/>
    <col min="15" max="18" width="3.33203125" bestFit="1" customWidth="1"/>
    <col min="19" max="22" width="3.44140625" bestFit="1" customWidth="1"/>
  </cols>
  <sheetData>
    <row r="1" spans="1:25" x14ac:dyDescent="0.3">
      <c r="A1" t="s">
        <v>831</v>
      </c>
    </row>
    <row r="7" spans="1:25" x14ac:dyDescent="0.3">
      <c r="A7" t="s">
        <v>554</v>
      </c>
      <c r="H7" t="s">
        <v>512</v>
      </c>
      <c r="I7" t="s">
        <v>367</v>
      </c>
      <c r="J7" t="s">
        <v>513</v>
      </c>
      <c r="K7" t="s">
        <v>366</v>
      </c>
      <c r="L7" t="s">
        <v>506</v>
      </c>
      <c r="M7" t="s">
        <v>514</v>
      </c>
      <c r="N7" t="s">
        <v>515</v>
      </c>
      <c r="O7" t="s">
        <v>604</v>
      </c>
      <c r="P7" t="s">
        <v>605</v>
      </c>
      <c r="Q7" t="s">
        <v>607</v>
      </c>
      <c r="R7" t="s">
        <v>610</v>
      </c>
      <c r="S7" t="s">
        <v>608</v>
      </c>
      <c r="T7" t="s">
        <v>603</v>
      </c>
      <c r="U7" t="s">
        <v>606</v>
      </c>
      <c r="V7" t="s">
        <v>609</v>
      </c>
    </row>
    <row r="8" spans="1:25" x14ac:dyDescent="0.3">
      <c r="A8">
        <v>994</v>
      </c>
      <c r="B8" t="s">
        <v>600</v>
      </c>
    </row>
    <row r="9" spans="1:25" x14ac:dyDescent="0.3">
      <c r="A9">
        <v>998</v>
      </c>
      <c r="C9" t="s">
        <v>600</v>
      </c>
      <c r="H9" t="s">
        <v>491</v>
      </c>
      <c r="I9" t="s">
        <v>491</v>
      </c>
      <c r="J9" t="s">
        <v>380</v>
      </c>
      <c r="K9" t="s">
        <v>380</v>
      </c>
      <c r="O9" t="s">
        <v>611</v>
      </c>
      <c r="T9" t="s">
        <v>611</v>
      </c>
      <c r="Y9" t="s">
        <v>626</v>
      </c>
    </row>
    <row r="10" spans="1:25" x14ac:dyDescent="0.3">
      <c r="A10">
        <v>1004</v>
      </c>
      <c r="D10" t="s">
        <v>600</v>
      </c>
      <c r="J10" t="s">
        <v>375</v>
      </c>
      <c r="K10" t="s">
        <v>375</v>
      </c>
      <c r="O10" t="s">
        <v>612</v>
      </c>
      <c r="P10" t="s">
        <v>611</v>
      </c>
    </row>
    <row r="11" spans="1:25" x14ac:dyDescent="0.3">
      <c r="A11">
        <v>1008</v>
      </c>
      <c r="D11" t="s">
        <v>600</v>
      </c>
      <c r="T11" t="s">
        <v>612</v>
      </c>
      <c r="U11" t="s">
        <v>611</v>
      </c>
    </row>
    <row r="12" spans="1:25" x14ac:dyDescent="0.3">
      <c r="A12">
        <v>1011</v>
      </c>
      <c r="E12" t="s">
        <v>600</v>
      </c>
      <c r="P12" t="s">
        <v>612</v>
      </c>
      <c r="Q12" t="s">
        <v>611</v>
      </c>
    </row>
    <row r="13" spans="1:25" x14ac:dyDescent="0.3">
      <c r="A13">
        <v>1013</v>
      </c>
      <c r="C13" t="s">
        <v>601</v>
      </c>
      <c r="H13" t="s">
        <v>383</v>
      </c>
      <c r="I13" t="s">
        <v>383</v>
      </c>
      <c r="J13" t="s">
        <v>380</v>
      </c>
      <c r="K13" t="s">
        <v>380</v>
      </c>
      <c r="O13" t="s">
        <v>611</v>
      </c>
      <c r="S13" t="s">
        <v>611</v>
      </c>
    </row>
    <row r="14" spans="1:25" x14ac:dyDescent="0.3">
      <c r="A14">
        <v>1019</v>
      </c>
      <c r="D14" t="s">
        <v>600</v>
      </c>
      <c r="L14">
        <v>9999</v>
      </c>
    </row>
    <row r="15" spans="1:25" x14ac:dyDescent="0.3">
      <c r="A15">
        <v>1022</v>
      </c>
      <c r="D15" t="s">
        <v>602</v>
      </c>
      <c r="L15" t="s">
        <v>500</v>
      </c>
    </row>
    <row r="16" spans="1:25" x14ac:dyDescent="0.3">
      <c r="A16">
        <v>1025</v>
      </c>
      <c r="D16" t="s">
        <v>602</v>
      </c>
      <c r="L16">
        <v>0</v>
      </c>
    </row>
    <row r="17" spans="1:22" x14ac:dyDescent="0.3">
      <c r="A17">
        <v>1028</v>
      </c>
      <c r="D17" t="s">
        <v>601</v>
      </c>
      <c r="L17">
        <v>-1</v>
      </c>
    </row>
    <row r="18" spans="1:22" x14ac:dyDescent="0.3">
      <c r="A18">
        <v>1032</v>
      </c>
      <c r="D18" t="s">
        <v>600</v>
      </c>
      <c r="H18" t="s">
        <v>486</v>
      </c>
      <c r="I18" t="s">
        <v>486</v>
      </c>
      <c r="J18" t="s">
        <v>374</v>
      </c>
      <c r="K18" t="s">
        <v>374</v>
      </c>
      <c r="O18" t="s">
        <v>612</v>
      </c>
      <c r="R18" t="s">
        <v>611</v>
      </c>
      <c r="S18" t="s">
        <v>612</v>
      </c>
      <c r="V18" t="s">
        <v>611</v>
      </c>
    </row>
    <row r="19" spans="1:22" x14ac:dyDescent="0.3">
      <c r="A19">
        <v>1036</v>
      </c>
      <c r="D19" t="s">
        <v>601</v>
      </c>
      <c r="M19">
        <v>0</v>
      </c>
    </row>
    <row r="20" spans="1:22" x14ac:dyDescent="0.3">
      <c r="A20">
        <v>1038</v>
      </c>
      <c r="E20" t="s">
        <v>600</v>
      </c>
      <c r="M20">
        <v>1</v>
      </c>
    </row>
    <row r="21" spans="1:22" x14ac:dyDescent="0.3">
      <c r="A21">
        <v>1039</v>
      </c>
      <c r="E21" t="s">
        <v>600</v>
      </c>
      <c r="M21">
        <v>2</v>
      </c>
    </row>
    <row r="22" spans="1:22" x14ac:dyDescent="0.3">
      <c r="A22">
        <v>1040</v>
      </c>
      <c r="E22" t="s">
        <v>600</v>
      </c>
      <c r="M22">
        <v>3</v>
      </c>
    </row>
    <row r="23" spans="1:22" x14ac:dyDescent="0.3">
      <c r="A23">
        <v>1041</v>
      </c>
      <c r="E23" t="s">
        <v>600</v>
      </c>
      <c r="I23" t="s">
        <v>486</v>
      </c>
      <c r="K23" t="s">
        <v>374</v>
      </c>
      <c r="O23" t="s">
        <v>613</v>
      </c>
      <c r="R23" t="s">
        <v>614</v>
      </c>
      <c r="S23" t="s">
        <v>613</v>
      </c>
      <c r="V23" t="s">
        <v>614</v>
      </c>
    </row>
    <row r="24" spans="1:22" x14ac:dyDescent="0.3">
      <c r="A24">
        <v>1050</v>
      </c>
      <c r="D24" t="s">
        <v>600</v>
      </c>
    </row>
    <row r="25" spans="1:22" x14ac:dyDescent="0.3">
      <c r="A25">
        <v>1054</v>
      </c>
      <c r="E25" t="s">
        <v>600</v>
      </c>
      <c r="H25" t="s">
        <v>488</v>
      </c>
      <c r="I25" t="s">
        <v>488</v>
      </c>
      <c r="J25" t="s">
        <v>376</v>
      </c>
      <c r="K25" t="s">
        <v>376</v>
      </c>
      <c r="O25" t="s">
        <v>612</v>
      </c>
      <c r="P25" t="s">
        <v>612</v>
      </c>
      <c r="Q25" t="s">
        <v>611</v>
      </c>
      <c r="R25" t="s">
        <v>612</v>
      </c>
      <c r="S25" t="s">
        <v>612</v>
      </c>
      <c r="T25" t="s">
        <v>612</v>
      </c>
      <c r="U25" t="s">
        <v>611</v>
      </c>
      <c r="V25" t="s">
        <v>612</v>
      </c>
    </row>
    <row r="26" spans="1:22" x14ac:dyDescent="0.3">
      <c r="A26">
        <v>1060</v>
      </c>
      <c r="E26" t="s">
        <v>602</v>
      </c>
      <c r="H26" t="s">
        <v>491</v>
      </c>
      <c r="I26" t="s">
        <v>488</v>
      </c>
      <c r="J26" t="s">
        <v>375</v>
      </c>
      <c r="K26" t="s">
        <v>376</v>
      </c>
      <c r="O26" t="s">
        <v>612</v>
      </c>
      <c r="P26" t="s">
        <v>613</v>
      </c>
      <c r="Q26" t="s">
        <v>614</v>
      </c>
      <c r="R26" t="s">
        <v>612</v>
      </c>
      <c r="S26" t="s">
        <v>612</v>
      </c>
      <c r="T26" t="s">
        <v>613</v>
      </c>
      <c r="U26" t="s">
        <v>614</v>
      </c>
      <c r="V26" t="s">
        <v>612</v>
      </c>
    </row>
    <row r="27" spans="1:22" x14ac:dyDescent="0.3">
      <c r="A27">
        <v>1066</v>
      </c>
      <c r="E27" t="s">
        <v>602</v>
      </c>
      <c r="H27" t="s">
        <v>491</v>
      </c>
      <c r="I27" t="s">
        <v>491</v>
      </c>
      <c r="J27" t="s">
        <v>375</v>
      </c>
      <c r="K27" t="s">
        <v>375</v>
      </c>
    </row>
    <row r="28" spans="1:22" x14ac:dyDescent="0.3">
      <c r="A28">
        <v>1070</v>
      </c>
      <c r="F28" t="s">
        <v>600</v>
      </c>
      <c r="O28" t="s">
        <v>612</v>
      </c>
      <c r="P28" t="s">
        <v>611</v>
      </c>
      <c r="Q28" t="s">
        <v>612</v>
      </c>
      <c r="R28" t="s">
        <v>612</v>
      </c>
      <c r="S28" t="s">
        <v>612</v>
      </c>
      <c r="T28" t="s">
        <v>611</v>
      </c>
      <c r="U28" t="s">
        <v>612</v>
      </c>
      <c r="V28" t="s">
        <v>612</v>
      </c>
    </row>
    <row r="29" spans="1:22" x14ac:dyDescent="0.3">
      <c r="A29">
        <v>1074</v>
      </c>
      <c r="G29" t="s">
        <v>600</v>
      </c>
      <c r="P29" t="s">
        <v>612</v>
      </c>
      <c r="Q29" t="s">
        <v>611</v>
      </c>
      <c r="T29" t="s">
        <v>612</v>
      </c>
      <c r="U29" t="s">
        <v>611</v>
      </c>
    </row>
    <row r="30" spans="1:22" x14ac:dyDescent="0.3">
      <c r="A30">
        <v>1079</v>
      </c>
      <c r="F30" t="s">
        <v>601</v>
      </c>
      <c r="O30" t="s">
        <v>612</v>
      </c>
      <c r="P30" t="s">
        <v>613</v>
      </c>
      <c r="Q30" t="s">
        <v>614</v>
      </c>
      <c r="R30" t="s">
        <v>612</v>
      </c>
      <c r="S30" t="s">
        <v>612</v>
      </c>
      <c r="T30" t="s">
        <v>613</v>
      </c>
      <c r="U30" t="s">
        <v>614</v>
      </c>
      <c r="V30" t="s">
        <v>612</v>
      </c>
    </row>
    <row r="31" spans="1:22" x14ac:dyDescent="0.3">
      <c r="A31">
        <v>1083</v>
      </c>
      <c r="G31" t="s">
        <v>600</v>
      </c>
      <c r="P31" t="s">
        <v>612</v>
      </c>
      <c r="Q31" t="s">
        <v>611</v>
      </c>
      <c r="T31" t="s">
        <v>612</v>
      </c>
      <c r="U31" t="s">
        <v>611</v>
      </c>
    </row>
    <row r="32" spans="1:22" x14ac:dyDescent="0.3">
      <c r="A32">
        <v>1091</v>
      </c>
      <c r="D32" t="s">
        <v>600</v>
      </c>
    </row>
    <row r="33" spans="1:18" x14ac:dyDescent="0.3">
      <c r="A33">
        <v>1092</v>
      </c>
      <c r="E33" t="s">
        <v>600</v>
      </c>
      <c r="K33" t="s">
        <v>376</v>
      </c>
      <c r="N33">
        <v>1</v>
      </c>
    </row>
    <row r="34" spans="1:18" x14ac:dyDescent="0.3">
      <c r="A34">
        <v>1094</v>
      </c>
      <c r="E34" t="s">
        <v>601</v>
      </c>
      <c r="N34">
        <v>2</v>
      </c>
    </row>
    <row r="35" spans="1:18" x14ac:dyDescent="0.3">
      <c r="A35">
        <v>1097</v>
      </c>
      <c r="D35" t="s">
        <v>601</v>
      </c>
      <c r="N35">
        <v>0</v>
      </c>
    </row>
    <row r="36" spans="1:18" x14ac:dyDescent="0.3">
      <c r="A36">
        <v>1100</v>
      </c>
      <c r="D36" t="s">
        <v>600</v>
      </c>
      <c r="J36" t="s">
        <v>376</v>
      </c>
    </row>
    <row r="37" spans="1:18" x14ac:dyDescent="0.3">
      <c r="A37">
        <v>1102</v>
      </c>
      <c r="E37" t="s">
        <v>600</v>
      </c>
    </row>
    <row r="38" spans="1:18" x14ac:dyDescent="0.3">
      <c r="A38">
        <v>1103</v>
      </c>
      <c r="F38" t="s">
        <v>600</v>
      </c>
      <c r="O38" t="s">
        <v>612</v>
      </c>
      <c r="P38" t="s">
        <v>612</v>
      </c>
      <c r="Q38" t="s">
        <v>613</v>
      </c>
      <c r="R38" t="s">
        <v>614</v>
      </c>
    </row>
    <row r="39" spans="1:18" x14ac:dyDescent="0.3">
      <c r="A39">
        <v>1106</v>
      </c>
      <c r="E39" t="s">
        <v>601</v>
      </c>
      <c r="K39" t="s">
        <v>376</v>
      </c>
      <c r="O39" t="s">
        <v>612</v>
      </c>
      <c r="P39" t="s">
        <v>612</v>
      </c>
      <c r="Q39" t="s">
        <v>611</v>
      </c>
      <c r="R39" t="s">
        <v>612</v>
      </c>
    </row>
    <row r="40" spans="1:18" x14ac:dyDescent="0.3">
      <c r="A40">
        <v>1110</v>
      </c>
      <c r="D40" t="s">
        <v>602</v>
      </c>
      <c r="J40" t="s">
        <v>376</v>
      </c>
    </row>
    <row r="41" spans="1:18" x14ac:dyDescent="0.3">
      <c r="A41">
        <v>1112</v>
      </c>
      <c r="E41" t="s">
        <v>600</v>
      </c>
      <c r="K41" t="s">
        <v>376</v>
      </c>
      <c r="O41" t="s">
        <v>612</v>
      </c>
      <c r="P41" t="s">
        <v>613</v>
      </c>
      <c r="Q41" t="s">
        <v>614</v>
      </c>
      <c r="R41" t="s">
        <v>612</v>
      </c>
    </row>
    <row r="42" spans="1:18" x14ac:dyDescent="0.3">
      <c r="A42">
        <v>1116</v>
      </c>
      <c r="D42" t="s">
        <v>601</v>
      </c>
      <c r="J42" t="s">
        <v>375</v>
      </c>
      <c r="K42" t="s">
        <v>375</v>
      </c>
    </row>
    <row r="43" spans="1:18" x14ac:dyDescent="0.3">
      <c r="A43">
        <v>1119</v>
      </c>
      <c r="E43" t="s">
        <v>600</v>
      </c>
      <c r="O43" t="s">
        <v>612</v>
      </c>
      <c r="P43" t="s">
        <v>611</v>
      </c>
      <c r="Q43" t="s">
        <v>612</v>
      </c>
      <c r="R43" t="s">
        <v>612</v>
      </c>
    </row>
    <row r="44" spans="1:18" x14ac:dyDescent="0.3">
      <c r="A44">
        <v>1122</v>
      </c>
      <c r="F44" t="s">
        <v>600</v>
      </c>
      <c r="P44" t="s">
        <v>612</v>
      </c>
      <c r="Q44" t="s">
        <v>611</v>
      </c>
    </row>
    <row r="45" spans="1:18" x14ac:dyDescent="0.3">
      <c r="A45">
        <v>1125</v>
      </c>
      <c r="E45" t="s">
        <v>601</v>
      </c>
      <c r="O45" t="s">
        <v>612</v>
      </c>
      <c r="P45" t="s">
        <v>613</v>
      </c>
      <c r="Q45" t="s">
        <v>614</v>
      </c>
      <c r="R45" t="s">
        <v>612</v>
      </c>
    </row>
    <row r="46" spans="1:18" x14ac:dyDescent="0.3">
      <c r="A46">
        <v>1128</v>
      </c>
      <c r="F46" t="s">
        <v>600</v>
      </c>
      <c r="P46" t="s">
        <v>612</v>
      </c>
      <c r="Q46" t="s">
        <v>611</v>
      </c>
    </row>
    <row r="47" spans="1:18" x14ac:dyDescent="0.3">
      <c r="A47">
        <v>1137</v>
      </c>
      <c r="D47" t="s">
        <v>600</v>
      </c>
    </row>
    <row r="48" spans="1:18" x14ac:dyDescent="0.3">
      <c r="A48">
        <v>1138</v>
      </c>
      <c r="E48" t="s">
        <v>600</v>
      </c>
      <c r="K48" t="s">
        <v>376</v>
      </c>
      <c r="N48">
        <v>1</v>
      </c>
    </row>
    <row r="49" spans="1:22" x14ac:dyDescent="0.3">
      <c r="A49">
        <v>1140</v>
      </c>
      <c r="E49" t="s">
        <v>601</v>
      </c>
      <c r="N49">
        <v>2</v>
      </c>
    </row>
    <row r="50" spans="1:22" x14ac:dyDescent="0.3">
      <c r="A50">
        <v>1143</v>
      </c>
      <c r="D50" t="s">
        <v>601</v>
      </c>
      <c r="N50">
        <v>0</v>
      </c>
    </row>
    <row r="51" spans="1:22" x14ac:dyDescent="0.3">
      <c r="A51">
        <v>1146</v>
      </c>
      <c r="D51" t="s">
        <v>600</v>
      </c>
      <c r="J51" t="s">
        <v>376</v>
      </c>
    </row>
    <row r="52" spans="1:22" x14ac:dyDescent="0.3">
      <c r="A52">
        <v>1148</v>
      </c>
      <c r="E52" t="s">
        <v>600</v>
      </c>
      <c r="O52" t="s">
        <v>612</v>
      </c>
      <c r="P52" t="s">
        <v>612</v>
      </c>
      <c r="Q52" t="s">
        <v>613</v>
      </c>
      <c r="R52" t="s">
        <v>614</v>
      </c>
    </row>
    <row r="53" spans="1:22" x14ac:dyDescent="0.3">
      <c r="A53">
        <v>1150</v>
      </c>
      <c r="E53" t="s">
        <v>601</v>
      </c>
      <c r="K53" t="s">
        <v>376</v>
      </c>
      <c r="O53" t="s">
        <v>612</v>
      </c>
      <c r="P53" t="s">
        <v>612</v>
      </c>
      <c r="Q53" t="s">
        <v>611</v>
      </c>
      <c r="R53" t="s">
        <v>612</v>
      </c>
    </row>
    <row r="54" spans="1:22" x14ac:dyDescent="0.3">
      <c r="A54">
        <v>1154</v>
      </c>
      <c r="D54" t="s">
        <v>602</v>
      </c>
      <c r="J54" t="s">
        <v>375</v>
      </c>
    </row>
    <row r="55" spans="1:22" x14ac:dyDescent="0.3">
      <c r="A55">
        <v>1156</v>
      </c>
      <c r="E55" t="s">
        <v>600</v>
      </c>
      <c r="K55" t="s">
        <v>376</v>
      </c>
      <c r="O55" t="s">
        <v>612</v>
      </c>
      <c r="P55" t="s">
        <v>613</v>
      </c>
      <c r="Q55" t="s">
        <v>614</v>
      </c>
      <c r="R55" t="s">
        <v>612</v>
      </c>
    </row>
    <row r="56" spans="1:22" x14ac:dyDescent="0.3">
      <c r="A56">
        <v>1160</v>
      </c>
      <c r="D56" t="s">
        <v>601</v>
      </c>
      <c r="J56" t="s">
        <v>375</v>
      </c>
      <c r="K56" t="s">
        <v>375</v>
      </c>
    </row>
    <row r="57" spans="1:22" x14ac:dyDescent="0.3">
      <c r="A57">
        <v>1163</v>
      </c>
      <c r="E57" t="s">
        <v>600</v>
      </c>
      <c r="O57" t="s">
        <v>612</v>
      </c>
      <c r="P57" t="s">
        <v>611</v>
      </c>
      <c r="Q57" t="s">
        <v>612</v>
      </c>
      <c r="R57" t="s">
        <v>612</v>
      </c>
    </row>
    <row r="58" spans="1:22" x14ac:dyDescent="0.3">
      <c r="A58">
        <v>1166</v>
      </c>
      <c r="F58" t="s">
        <v>600</v>
      </c>
      <c r="P58" t="s">
        <v>612</v>
      </c>
      <c r="Q58" t="s">
        <v>611</v>
      </c>
    </row>
    <row r="59" spans="1:22" x14ac:dyDescent="0.3">
      <c r="A59">
        <v>1169</v>
      </c>
      <c r="E59" t="s">
        <v>602</v>
      </c>
      <c r="O59" t="s">
        <v>612</v>
      </c>
      <c r="P59" t="s">
        <v>613</v>
      </c>
      <c r="Q59" t="s">
        <v>614</v>
      </c>
      <c r="R59" t="s">
        <v>612</v>
      </c>
    </row>
    <row r="60" spans="1:22" x14ac:dyDescent="0.3">
      <c r="A60">
        <v>1172</v>
      </c>
      <c r="F60" t="s">
        <v>600</v>
      </c>
      <c r="P60" t="s">
        <v>612</v>
      </c>
      <c r="Q60" t="s">
        <v>611</v>
      </c>
    </row>
    <row r="61" spans="1:22" x14ac:dyDescent="0.3">
      <c r="A61">
        <v>1180</v>
      </c>
      <c r="B61" t="s">
        <v>601</v>
      </c>
      <c r="H61" t="s">
        <v>491</v>
      </c>
      <c r="I61" t="s">
        <v>491</v>
      </c>
      <c r="J61" t="s">
        <v>375</v>
      </c>
      <c r="K61" t="s">
        <v>375</v>
      </c>
      <c r="P61" t="s">
        <v>611</v>
      </c>
      <c r="T61" t="s">
        <v>611</v>
      </c>
    </row>
    <row r="62" spans="1:22" x14ac:dyDescent="0.3">
      <c r="A62">
        <v>1186</v>
      </c>
      <c r="C62" t="s">
        <v>600</v>
      </c>
      <c r="P62" t="s">
        <v>612</v>
      </c>
      <c r="Q62" t="s">
        <v>611</v>
      </c>
      <c r="T62" t="s">
        <v>612</v>
      </c>
      <c r="U62" t="s">
        <v>611</v>
      </c>
    </row>
    <row r="63" spans="1:22" x14ac:dyDescent="0.3">
      <c r="R63" t="s">
        <v>611</v>
      </c>
      <c r="V63" t="s">
        <v>611</v>
      </c>
    </row>
    <row r="66" spans="1:22" x14ac:dyDescent="0.3">
      <c r="A66">
        <v>994</v>
      </c>
      <c r="B66" t="s">
        <v>600</v>
      </c>
    </row>
    <row r="67" spans="1:22" x14ac:dyDescent="0.3">
      <c r="A67">
        <v>998</v>
      </c>
      <c r="C67" t="s">
        <v>600</v>
      </c>
      <c r="H67" t="s">
        <v>491</v>
      </c>
      <c r="I67" t="s">
        <v>491</v>
      </c>
      <c r="J67" t="s">
        <v>380</v>
      </c>
      <c r="K67" t="s">
        <v>380</v>
      </c>
      <c r="O67" t="s">
        <v>611</v>
      </c>
      <c r="T67" t="s">
        <v>611</v>
      </c>
    </row>
    <row r="68" spans="1:22" x14ac:dyDescent="0.3">
      <c r="A68">
        <v>1004</v>
      </c>
      <c r="D68" t="s">
        <v>600</v>
      </c>
      <c r="J68" t="s">
        <v>375</v>
      </c>
      <c r="K68" t="s">
        <v>375</v>
      </c>
      <c r="O68" t="s">
        <v>612</v>
      </c>
      <c r="P68" t="s">
        <v>611</v>
      </c>
    </row>
    <row r="69" spans="1:22" x14ac:dyDescent="0.3">
      <c r="A69">
        <v>1007</v>
      </c>
      <c r="D69" t="s">
        <v>816</v>
      </c>
    </row>
    <row r="70" spans="1:22" x14ac:dyDescent="0.3">
      <c r="A70">
        <v>1008</v>
      </c>
      <c r="D70" t="s">
        <v>600</v>
      </c>
      <c r="T70" t="s">
        <v>612</v>
      </c>
      <c r="U70" t="s">
        <v>611</v>
      </c>
    </row>
    <row r="71" spans="1:22" x14ac:dyDescent="0.3">
      <c r="A71">
        <v>1011</v>
      </c>
      <c r="E71" t="s">
        <v>600</v>
      </c>
      <c r="P71" t="s">
        <v>612</v>
      </c>
      <c r="Q71" t="s">
        <v>611</v>
      </c>
    </row>
    <row r="72" spans="1:22" x14ac:dyDescent="0.3">
      <c r="A72">
        <v>1013</v>
      </c>
      <c r="C72" t="s">
        <v>601</v>
      </c>
      <c r="H72" t="s">
        <v>383</v>
      </c>
      <c r="I72" t="s">
        <v>383</v>
      </c>
      <c r="J72" t="s">
        <v>380</v>
      </c>
      <c r="K72" t="s">
        <v>380</v>
      </c>
      <c r="O72" t="s">
        <v>611</v>
      </c>
      <c r="S72" t="s">
        <v>611</v>
      </c>
    </row>
    <row r="73" spans="1:22" x14ac:dyDescent="0.3">
      <c r="A73">
        <v>1019</v>
      </c>
      <c r="D73" t="s">
        <v>600</v>
      </c>
      <c r="L73">
        <v>9999</v>
      </c>
    </row>
    <row r="74" spans="1:22" x14ac:dyDescent="0.3">
      <c r="A74">
        <v>1022</v>
      </c>
      <c r="D74" t="s">
        <v>602</v>
      </c>
      <c r="L74" t="s">
        <v>500</v>
      </c>
    </row>
    <row r="75" spans="1:22" x14ac:dyDescent="0.3">
      <c r="A75">
        <v>1025</v>
      </c>
      <c r="D75" t="s">
        <v>602</v>
      </c>
      <c r="L75">
        <v>0</v>
      </c>
    </row>
    <row r="76" spans="1:22" x14ac:dyDescent="0.3">
      <c r="A76">
        <v>1028</v>
      </c>
      <c r="D76" t="s">
        <v>601</v>
      </c>
      <c r="L76">
        <v>-1</v>
      </c>
    </row>
    <row r="77" spans="1:22" x14ac:dyDescent="0.3">
      <c r="A77">
        <v>1032</v>
      </c>
      <c r="D77" t="s">
        <v>600</v>
      </c>
      <c r="H77" t="s">
        <v>486</v>
      </c>
      <c r="I77" t="s">
        <v>486</v>
      </c>
      <c r="J77" t="s">
        <v>374</v>
      </c>
      <c r="K77" t="s">
        <v>374</v>
      </c>
      <c r="O77" t="s">
        <v>612</v>
      </c>
      <c r="R77" t="s">
        <v>611</v>
      </c>
      <c r="S77" t="s">
        <v>612</v>
      </c>
      <c r="V77" t="s">
        <v>611</v>
      </c>
    </row>
    <row r="78" spans="1:22" x14ac:dyDescent="0.3">
      <c r="A78">
        <v>1036</v>
      </c>
      <c r="D78" t="s">
        <v>601</v>
      </c>
      <c r="M78">
        <v>0</v>
      </c>
    </row>
    <row r="79" spans="1:22" x14ac:dyDescent="0.3">
      <c r="A79">
        <v>1038</v>
      </c>
      <c r="E79" t="s">
        <v>600</v>
      </c>
      <c r="M79">
        <v>1</v>
      </c>
    </row>
    <row r="80" spans="1:22" x14ac:dyDescent="0.3">
      <c r="A80">
        <v>1039</v>
      </c>
      <c r="E80" t="s">
        <v>600</v>
      </c>
      <c r="M80">
        <v>2</v>
      </c>
    </row>
    <row r="81" spans="1:22" x14ac:dyDescent="0.3">
      <c r="A81">
        <v>1040</v>
      </c>
      <c r="E81" t="s">
        <v>600</v>
      </c>
      <c r="M81">
        <v>3</v>
      </c>
    </row>
    <row r="82" spans="1:22" x14ac:dyDescent="0.3">
      <c r="A82">
        <v>1041</v>
      </c>
      <c r="E82" t="s">
        <v>600</v>
      </c>
      <c r="I82" t="s">
        <v>486</v>
      </c>
      <c r="K82" t="s">
        <v>374</v>
      </c>
      <c r="O82" t="s">
        <v>613</v>
      </c>
      <c r="R82" t="s">
        <v>614</v>
      </c>
      <c r="S82" t="s">
        <v>613</v>
      </c>
      <c r="V82" t="s">
        <v>614</v>
      </c>
    </row>
    <row r="83" spans="1:22" x14ac:dyDescent="0.3">
      <c r="A83">
        <v>1050</v>
      </c>
      <c r="D83" t="s">
        <v>600</v>
      </c>
    </row>
    <row r="84" spans="1:22" x14ac:dyDescent="0.3">
      <c r="A84">
        <v>1054</v>
      </c>
      <c r="E84" t="s">
        <v>600</v>
      </c>
      <c r="H84" t="s">
        <v>488</v>
      </c>
      <c r="I84" t="s">
        <v>488</v>
      </c>
      <c r="J84" t="s">
        <v>376</v>
      </c>
      <c r="K84" t="s">
        <v>376</v>
      </c>
      <c r="O84" t="s">
        <v>612</v>
      </c>
      <c r="P84" t="s">
        <v>612</v>
      </c>
      <c r="Q84" t="s">
        <v>611</v>
      </c>
      <c r="R84" t="s">
        <v>612</v>
      </c>
      <c r="S84" t="s">
        <v>612</v>
      </c>
      <c r="T84" t="s">
        <v>612</v>
      </c>
      <c r="U84" t="s">
        <v>611</v>
      </c>
      <c r="V84" t="s">
        <v>612</v>
      </c>
    </row>
    <row r="85" spans="1:22" x14ac:dyDescent="0.3">
      <c r="A85">
        <v>1060</v>
      </c>
      <c r="E85" t="s">
        <v>602</v>
      </c>
      <c r="H85" t="s">
        <v>491</v>
      </c>
      <c r="I85" t="s">
        <v>488</v>
      </c>
      <c r="J85" t="s">
        <v>375</v>
      </c>
      <c r="K85" t="s">
        <v>376</v>
      </c>
      <c r="O85" t="s">
        <v>612</v>
      </c>
      <c r="P85" t="s">
        <v>613</v>
      </c>
      <c r="Q85" t="s">
        <v>614</v>
      </c>
      <c r="R85" t="s">
        <v>612</v>
      </c>
      <c r="S85" t="s">
        <v>612</v>
      </c>
      <c r="T85" t="s">
        <v>613</v>
      </c>
      <c r="U85" t="s">
        <v>614</v>
      </c>
      <c r="V85" t="s">
        <v>612</v>
      </c>
    </row>
    <row r="86" spans="1:22" x14ac:dyDescent="0.3">
      <c r="A86">
        <v>1066</v>
      </c>
      <c r="E86" t="s">
        <v>602</v>
      </c>
      <c r="H86" t="s">
        <v>491</v>
      </c>
      <c r="I86" t="s">
        <v>491</v>
      </c>
      <c r="J86" t="s">
        <v>375</v>
      </c>
      <c r="K86" t="s">
        <v>375</v>
      </c>
    </row>
    <row r="87" spans="1:22" x14ac:dyDescent="0.3">
      <c r="A87">
        <v>1070</v>
      </c>
      <c r="F87" t="s">
        <v>600</v>
      </c>
      <c r="O87" t="s">
        <v>612</v>
      </c>
      <c r="P87" t="s">
        <v>611</v>
      </c>
      <c r="Q87" t="s">
        <v>612</v>
      </c>
      <c r="R87" t="s">
        <v>612</v>
      </c>
      <c r="S87" t="s">
        <v>612</v>
      </c>
      <c r="T87" t="s">
        <v>611</v>
      </c>
      <c r="U87" t="s">
        <v>612</v>
      </c>
      <c r="V87" t="s">
        <v>612</v>
      </c>
    </row>
    <row r="88" spans="1:22" x14ac:dyDescent="0.3">
      <c r="A88">
        <v>1074</v>
      </c>
      <c r="G88" t="s">
        <v>600</v>
      </c>
      <c r="P88" t="s">
        <v>612</v>
      </c>
      <c r="Q88" t="s">
        <v>611</v>
      </c>
      <c r="T88" t="s">
        <v>612</v>
      </c>
      <c r="U88" t="s">
        <v>611</v>
      </c>
    </row>
    <row r="89" spans="1:22" x14ac:dyDescent="0.3">
      <c r="A89">
        <v>1079</v>
      </c>
      <c r="F89" t="s">
        <v>601</v>
      </c>
      <c r="O89" t="s">
        <v>612</v>
      </c>
      <c r="P89" t="s">
        <v>613</v>
      </c>
      <c r="Q89" t="s">
        <v>614</v>
      </c>
      <c r="R89" t="s">
        <v>612</v>
      </c>
      <c r="S89" t="s">
        <v>612</v>
      </c>
      <c r="T89" t="s">
        <v>613</v>
      </c>
      <c r="U89" t="s">
        <v>614</v>
      </c>
      <c r="V89" t="s">
        <v>612</v>
      </c>
    </row>
    <row r="90" spans="1:22" x14ac:dyDescent="0.3">
      <c r="A90">
        <v>1083</v>
      </c>
      <c r="G90" t="s">
        <v>600</v>
      </c>
      <c r="P90" t="s">
        <v>612</v>
      </c>
      <c r="Q90" t="s">
        <v>611</v>
      </c>
      <c r="T90" t="s">
        <v>612</v>
      </c>
      <c r="U90" t="s">
        <v>611</v>
      </c>
    </row>
    <row r="91" spans="1:22" x14ac:dyDescent="0.3">
      <c r="A91">
        <v>1091</v>
      </c>
      <c r="D91" t="s">
        <v>600</v>
      </c>
    </row>
    <row r="92" spans="1:22" x14ac:dyDescent="0.3">
      <c r="A92">
        <v>1092</v>
      </c>
      <c r="E92" t="s">
        <v>600</v>
      </c>
      <c r="K92" t="s">
        <v>376</v>
      </c>
      <c r="N92">
        <v>1</v>
      </c>
    </row>
    <row r="93" spans="1:22" x14ac:dyDescent="0.3">
      <c r="A93">
        <v>1094</v>
      </c>
      <c r="E93" t="s">
        <v>601</v>
      </c>
      <c r="N93">
        <v>2</v>
      </c>
    </row>
    <row r="94" spans="1:22" x14ac:dyDescent="0.3">
      <c r="A94">
        <v>1097</v>
      </c>
      <c r="D94" t="s">
        <v>601</v>
      </c>
      <c r="N94">
        <v>0</v>
      </c>
    </row>
    <row r="95" spans="1:22" x14ac:dyDescent="0.3">
      <c r="A95">
        <v>1100</v>
      </c>
      <c r="D95" t="s">
        <v>600</v>
      </c>
      <c r="J95" t="s">
        <v>376</v>
      </c>
    </row>
    <row r="96" spans="1:22" x14ac:dyDescent="0.3">
      <c r="A96">
        <v>1102</v>
      </c>
      <c r="E96" t="s">
        <v>600</v>
      </c>
    </row>
    <row r="97" spans="1:18" x14ac:dyDescent="0.3">
      <c r="A97">
        <v>1103</v>
      </c>
      <c r="F97" t="s">
        <v>600</v>
      </c>
      <c r="O97" t="s">
        <v>612</v>
      </c>
      <c r="P97" t="s">
        <v>612</v>
      </c>
      <c r="Q97" t="s">
        <v>613</v>
      </c>
      <c r="R97" t="s">
        <v>614</v>
      </c>
    </row>
    <row r="98" spans="1:18" x14ac:dyDescent="0.3">
      <c r="A98">
        <v>1106</v>
      </c>
      <c r="E98" t="s">
        <v>601</v>
      </c>
      <c r="K98" t="s">
        <v>376</v>
      </c>
      <c r="O98" t="s">
        <v>612</v>
      </c>
      <c r="P98" t="s">
        <v>612</v>
      </c>
      <c r="Q98" t="s">
        <v>611</v>
      </c>
      <c r="R98" t="s">
        <v>612</v>
      </c>
    </row>
    <row r="99" spans="1:18" x14ac:dyDescent="0.3">
      <c r="A99">
        <v>1110</v>
      </c>
      <c r="D99" t="s">
        <v>602</v>
      </c>
      <c r="J99" t="s">
        <v>376</v>
      </c>
    </row>
    <row r="100" spans="1:18" x14ac:dyDescent="0.3">
      <c r="A100">
        <v>1112</v>
      </c>
      <c r="E100" t="s">
        <v>600</v>
      </c>
      <c r="K100" t="s">
        <v>376</v>
      </c>
      <c r="O100" t="s">
        <v>612</v>
      </c>
      <c r="P100" t="s">
        <v>613</v>
      </c>
      <c r="Q100" t="s">
        <v>614</v>
      </c>
      <c r="R100" t="s">
        <v>612</v>
      </c>
    </row>
    <row r="101" spans="1:18" x14ac:dyDescent="0.3">
      <c r="A101">
        <v>1116</v>
      </c>
      <c r="D101" t="s">
        <v>601</v>
      </c>
      <c r="J101" t="s">
        <v>375</v>
      </c>
      <c r="K101" t="s">
        <v>375</v>
      </c>
    </row>
    <row r="102" spans="1:18" x14ac:dyDescent="0.3">
      <c r="A102">
        <v>1119</v>
      </c>
      <c r="E102" t="s">
        <v>600</v>
      </c>
      <c r="O102" t="s">
        <v>612</v>
      </c>
      <c r="P102" t="s">
        <v>611</v>
      </c>
      <c r="Q102" t="s">
        <v>612</v>
      </c>
      <c r="R102" t="s">
        <v>612</v>
      </c>
    </row>
    <row r="103" spans="1:18" x14ac:dyDescent="0.3">
      <c r="A103">
        <v>1122</v>
      </c>
      <c r="F103" t="s">
        <v>600</v>
      </c>
      <c r="P103" t="s">
        <v>612</v>
      </c>
      <c r="Q103" t="s">
        <v>611</v>
      </c>
    </row>
    <row r="104" spans="1:18" x14ac:dyDescent="0.3">
      <c r="A104">
        <v>1125</v>
      </c>
      <c r="E104" t="s">
        <v>601</v>
      </c>
      <c r="O104" t="s">
        <v>612</v>
      </c>
      <c r="P104" t="s">
        <v>613</v>
      </c>
      <c r="Q104" t="s">
        <v>614</v>
      </c>
      <c r="R104" t="s">
        <v>612</v>
      </c>
    </row>
    <row r="105" spans="1:18" x14ac:dyDescent="0.3">
      <c r="A105">
        <v>1128</v>
      </c>
      <c r="F105" t="s">
        <v>600</v>
      </c>
      <c r="P105" t="s">
        <v>612</v>
      </c>
      <c r="Q105" t="s">
        <v>611</v>
      </c>
    </row>
    <row r="106" spans="1:18" x14ac:dyDescent="0.3">
      <c r="A106">
        <v>1137</v>
      </c>
      <c r="D106" t="s">
        <v>600</v>
      </c>
    </row>
    <row r="107" spans="1:18" x14ac:dyDescent="0.3">
      <c r="A107">
        <v>1138</v>
      </c>
      <c r="E107" t="s">
        <v>600</v>
      </c>
      <c r="K107" t="s">
        <v>376</v>
      </c>
      <c r="N107">
        <v>1</v>
      </c>
    </row>
    <row r="108" spans="1:18" x14ac:dyDescent="0.3">
      <c r="A108">
        <v>1140</v>
      </c>
      <c r="E108" t="s">
        <v>601</v>
      </c>
      <c r="N108">
        <v>2</v>
      </c>
    </row>
    <row r="109" spans="1:18" x14ac:dyDescent="0.3">
      <c r="A109">
        <v>1143</v>
      </c>
      <c r="D109" t="s">
        <v>601</v>
      </c>
      <c r="N109">
        <v>0</v>
      </c>
    </row>
    <row r="110" spans="1:18" x14ac:dyDescent="0.3">
      <c r="A110">
        <v>1146</v>
      </c>
      <c r="D110" t="s">
        <v>600</v>
      </c>
      <c r="J110" t="s">
        <v>376</v>
      </c>
    </row>
    <row r="111" spans="1:18" x14ac:dyDescent="0.3">
      <c r="A111">
        <v>1148</v>
      </c>
      <c r="E111" t="s">
        <v>600</v>
      </c>
      <c r="O111" t="s">
        <v>612</v>
      </c>
      <c r="P111" t="s">
        <v>612</v>
      </c>
      <c r="Q111" t="s">
        <v>613</v>
      </c>
      <c r="R111" t="s">
        <v>614</v>
      </c>
    </row>
    <row r="112" spans="1:18" x14ac:dyDescent="0.3">
      <c r="A112">
        <v>1150</v>
      </c>
      <c r="E112" t="s">
        <v>601</v>
      </c>
      <c r="K112" t="s">
        <v>376</v>
      </c>
      <c r="O112" t="s">
        <v>612</v>
      </c>
      <c r="P112" t="s">
        <v>612</v>
      </c>
      <c r="Q112" t="s">
        <v>611</v>
      </c>
      <c r="R112" t="s">
        <v>612</v>
      </c>
    </row>
    <row r="113" spans="1:21" x14ac:dyDescent="0.3">
      <c r="A113">
        <v>1154</v>
      </c>
      <c r="D113" t="s">
        <v>602</v>
      </c>
      <c r="J113" t="s">
        <v>375</v>
      </c>
    </row>
    <row r="114" spans="1:21" x14ac:dyDescent="0.3">
      <c r="A114">
        <v>1156</v>
      </c>
      <c r="E114" t="s">
        <v>600</v>
      </c>
      <c r="K114" t="s">
        <v>376</v>
      </c>
      <c r="O114" t="s">
        <v>612</v>
      </c>
      <c r="P114" t="s">
        <v>613</v>
      </c>
      <c r="Q114" t="s">
        <v>614</v>
      </c>
      <c r="R114" t="s">
        <v>612</v>
      </c>
    </row>
    <row r="115" spans="1:21" x14ac:dyDescent="0.3">
      <c r="A115">
        <v>1160</v>
      </c>
      <c r="D115" t="s">
        <v>601</v>
      </c>
      <c r="J115" t="s">
        <v>375</v>
      </c>
      <c r="K115" t="s">
        <v>375</v>
      </c>
    </row>
    <row r="116" spans="1:21" x14ac:dyDescent="0.3">
      <c r="A116">
        <v>1163</v>
      </c>
      <c r="E116" t="s">
        <v>600</v>
      </c>
      <c r="O116" t="s">
        <v>612</v>
      </c>
      <c r="P116" t="s">
        <v>611</v>
      </c>
      <c r="Q116" t="s">
        <v>612</v>
      </c>
      <c r="R116" t="s">
        <v>612</v>
      </c>
    </row>
    <row r="117" spans="1:21" x14ac:dyDescent="0.3">
      <c r="A117">
        <v>1166</v>
      </c>
      <c r="F117" t="s">
        <v>600</v>
      </c>
      <c r="P117" t="s">
        <v>612</v>
      </c>
      <c r="Q117" t="s">
        <v>611</v>
      </c>
    </row>
    <row r="118" spans="1:21" x14ac:dyDescent="0.3">
      <c r="A118">
        <v>1169</v>
      </c>
      <c r="E118" t="s">
        <v>602</v>
      </c>
      <c r="O118" t="s">
        <v>612</v>
      </c>
      <c r="P118" t="s">
        <v>613</v>
      </c>
      <c r="Q118" t="s">
        <v>614</v>
      </c>
      <c r="R118" t="s">
        <v>612</v>
      </c>
    </row>
    <row r="119" spans="1:21" x14ac:dyDescent="0.3">
      <c r="A119">
        <v>1172</v>
      </c>
      <c r="F119" t="s">
        <v>600</v>
      </c>
      <c r="P119" t="s">
        <v>612</v>
      </c>
      <c r="Q119" t="s">
        <v>611</v>
      </c>
    </row>
    <row r="120" spans="1:21" x14ac:dyDescent="0.3">
      <c r="A120">
        <v>1180</v>
      </c>
      <c r="B120" t="s">
        <v>601</v>
      </c>
      <c r="H120" t="s">
        <v>491</v>
      </c>
      <c r="I120" t="s">
        <v>491</v>
      </c>
      <c r="J120" t="s">
        <v>375</v>
      </c>
      <c r="K120" t="s">
        <v>375</v>
      </c>
      <c r="P120" t="s">
        <v>611</v>
      </c>
      <c r="T120" t="s">
        <v>611</v>
      </c>
    </row>
    <row r="121" spans="1:21" x14ac:dyDescent="0.3">
      <c r="A121">
        <v>1186</v>
      </c>
      <c r="C121" t="s">
        <v>600</v>
      </c>
      <c r="P121" t="s">
        <v>612</v>
      </c>
      <c r="Q121" t="s">
        <v>611</v>
      </c>
      <c r="T121" t="s">
        <v>612</v>
      </c>
      <c r="U121" t="s">
        <v>611</v>
      </c>
    </row>
  </sheetData>
  <sheetProtection algorithmName="SHA-512" hashValue="mUdDBK/Da4DbHey0R4CIjw2gotGadWPtVFlCj8gmN0qpwb38XS6JAhvJTCwezJl2QB58hEPJURteIqIdPcfc+g==" saltValue="aFAaxq3EmpRbEl3ssUaZkg==" spinCount="100000"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3DEF-045E-4169-B79C-9A44C5C4B9DE}">
  <sheetPr codeName="Sheet35"/>
  <dimension ref="A1:D30"/>
  <sheetViews>
    <sheetView workbookViewId="0">
      <selection activeCell="E43" sqref="E43"/>
    </sheetView>
  </sheetViews>
  <sheetFormatPr defaultRowHeight="14.4" x14ac:dyDescent="0.3"/>
  <sheetData>
    <row r="1" spans="1:4" x14ac:dyDescent="0.3">
      <c r="A1" t="s">
        <v>831</v>
      </c>
    </row>
    <row r="3" spans="1:4" x14ac:dyDescent="0.3">
      <c r="A3" t="s">
        <v>524</v>
      </c>
      <c r="B3">
        <f>IF('Armor Data'!AM4 = 1,50,40)</f>
        <v>40</v>
      </c>
    </row>
    <row r="5" spans="1:4" x14ac:dyDescent="0.3">
      <c r="A5" t="s">
        <v>523</v>
      </c>
      <c r="B5">
        <f>IF(AND(BLPLUSEX!B104 = 1,BLPLUSEX!B14 = 1),1,0)</f>
        <v>0</v>
      </c>
      <c r="D5" s="3"/>
    </row>
    <row r="7" spans="1:4" x14ac:dyDescent="0.3">
      <c r="D7" s="3"/>
    </row>
    <row r="9" spans="1:4" x14ac:dyDescent="0.3">
      <c r="A9" t="s">
        <v>525</v>
      </c>
      <c r="B9">
        <f>IF(OR('Projectile Data'!AQ4 = 2,AND('Projectile Data'!AQ4 &lt; 2,BLPLUSEX!B104 = 0)),1,0)</f>
        <v>0</v>
      </c>
      <c r="D9" s="3"/>
    </row>
    <row r="11" spans="1:4" x14ac:dyDescent="0.3">
      <c r="A11" t="s">
        <v>526</v>
      </c>
      <c r="B11">
        <f>IF('main calculation sheet'!B57 = 1,SHATRDAM!B4,0)</f>
        <v>0</v>
      </c>
    </row>
    <row r="12" spans="1:4" x14ac:dyDescent="0.3">
      <c r="A12" t="s">
        <v>632</v>
      </c>
      <c r="B12">
        <f>IF(CALCBL!B65 = -1,BENDLOGIC!B3,IF(AND('Ins&amp;Outs'!B27 &lt; CALCBL!B65,DAMAGECALC!B11 = 0,BLPLUSEX!B104 = 2),3,B11))</f>
        <v>4</v>
      </c>
      <c r="D12" s="1" t="s">
        <v>826</v>
      </c>
    </row>
    <row r="13" spans="1:4" x14ac:dyDescent="0.3">
      <c r="A13" t="s">
        <v>633</v>
      </c>
      <c r="B13" cm="1">
        <f t="array" ref="B13">IF(AND(BLPLUSEX!B104 &lt; 2,DAMAGECALC!B12 = 0),_xlfn.IFS(AND('Projectile Data'!AP4 &gt; 0,OR('Armor Data'!AM4 = 0,AND('Armor Data'!AM4 = 1,DAMAGECALC!B9 = 1))),5,AND('Ins&amp;Outs'!B30 &gt; DAMAGECALC!B3,OR(BLPLUSEX!B104 = 0,'Projectile Data'!AQ4 &gt; 0)),6,CALCBL!B65 &gt; BLPLUSEX!I94,3,1=1,DAMAGECALC!B12),DAMAGECALC!B12)</f>
        <v>4</v>
      </c>
      <c r="D13" s="1" t="s">
        <v>824</v>
      </c>
    </row>
    <row r="14" spans="1:4" x14ac:dyDescent="0.3">
      <c r="A14" t="s">
        <v>527</v>
      </c>
      <c r="B14" s="1" cm="1">
        <f t="array" ref="B14">_xlfn.IFS('main calculation sheet'!B63 = 2,0,AND(DAMAGECALC!B5 = 1,'Projectile Data'!AP4 = 0),0,AND(OR('main calculation sheet'!B63 = 1,'main calculation sheet'!B63 = 4),'Ins&amp;Outs'!B27 &gt;= BLPLUSEX!I94),0,1=1,DAMAGECALC!B13)</f>
        <v>4</v>
      </c>
      <c r="D14" s="1" t="s">
        <v>825</v>
      </c>
    </row>
    <row r="18" spans="1:4" x14ac:dyDescent="0.3">
      <c r="D18" s="3"/>
    </row>
    <row r="20" spans="1:4" x14ac:dyDescent="0.3">
      <c r="A20" t="s">
        <v>628</v>
      </c>
      <c r="B20">
        <f>IF(AND(B5 = 1,'Projectile Data'!AP4 = 0),3,'main calculation sheet'!B63)</f>
        <v>0</v>
      </c>
      <c r="D20" s="3"/>
    </row>
    <row r="22" spans="1:4" x14ac:dyDescent="0.3">
      <c r="A22" t="s">
        <v>634</v>
      </c>
      <c r="B22">
        <f>IF('main calculation sheet'!B57 = 1,SHATRDAM!B5,0)</f>
        <v>0</v>
      </c>
    </row>
    <row r="23" spans="1:4" x14ac:dyDescent="0.3">
      <c r="A23" t="s">
        <v>635</v>
      </c>
      <c r="B23">
        <f>IF(B14 &gt; 0,IF('Projectile Data'!AQ4 = 2,2,IF(B22=0,1,B22)),B22)</f>
        <v>1</v>
      </c>
    </row>
    <row r="28" spans="1:4" x14ac:dyDescent="0.3">
      <c r="A28" t="s">
        <v>528</v>
      </c>
      <c r="B28">
        <f>IF('main calculation sheet'!B57 = 1,SHATRDAM!B3,0)</f>
        <v>0</v>
      </c>
    </row>
    <row r="29" spans="1:4" x14ac:dyDescent="0.3">
      <c r="A29" t="s">
        <v>630</v>
      </c>
      <c r="B29" s="1" cm="1">
        <f t="array" ref="B29">IF('main calculation sheet'!B57 &lt;&gt; 1,IF(BLPLUSEX!B104 &lt; 2,NOSEBROKE!B9,_xlfn.IFS(('Ins&amp;Outs'!B30 - BLPLUSEX!B108) &gt; NOSEDAM!B3,3,AND(OR('Ins&amp;Outs'!F30 = 'Armor Data'!V5,'Ins&amp;Outs'!F30 = 'Armor Data'!V6),'Projectile Data'!AW4 = 2),8,1=1,0)),B28)</f>
        <v>3</v>
      </c>
    </row>
    <row r="30" spans="1:4" x14ac:dyDescent="0.3">
      <c r="A30" t="s">
        <v>333</v>
      </c>
      <c r="B30">
        <f>IF(B14 &gt; 0,IF('Projectile Data'!AQ4 = 2,IF(B29 = 0,1,B29),B29),B29)</f>
        <v>3</v>
      </c>
    </row>
  </sheetData>
  <sheetProtection algorithmName="SHA-512" hashValue="vFlTmn36e4MGB/o7lVYibg3fSLONNc3opInZU8kye62mg9AndGXoRB3WLTe9bEVg/rT9XcvUilcT9jrfAP7eIQ==" saltValue="L03lmHbfNG6JYgmw4KalsQ=="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F687-F4CF-45B4-B1B6-913B176FDCCD}">
  <sheetPr codeName="Sheet36"/>
  <dimension ref="A1:F42"/>
  <sheetViews>
    <sheetView workbookViewId="0">
      <selection activeCell="E43" sqref="E43"/>
    </sheetView>
  </sheetViews>
  <sheetFormatPr defaultRowHeight="14.4" x14ac:dyDescent="0.3"/>
  <cols>
    <col min="2" max="2" width="11" bestFit="1" customWidth="1"/>
  </cols>
  <sheetData>
    <row r="1" spans="1:6" x14ac:dyDescent="0.3">
      <c r="A1" t="s">
        <v>831</v>
      </c>
    </row>
    <row r="3" spans="1:6" x14ac:dyDescent="0.3">
      <c r="A3" t="s">
        <v>335</v>
      </c>
      <c r="B3" cm="1">
        <f t="array" ref="B3">_xlfn.IFS(AND('Ins&amp;Outs'!B27 &lt; BLPLUSEX!K94,'main calculation sheet'!B21 &lt;= 0,'main calculation sheet'!B66 &gt; 0),1,'Ins&amp;Outs'!B27 &lt; BLPLUSEX!K94,0,1=1,PENVRVPLGCALC!B58)</f>
        <v>4</v>
      </c>
      <c r="D3" s="3"/>
    </row>
    <row r="4" spans="1:6" x14ac:dyDescent="0.3">
      <c r="A4" t="s">
        <v>293</v>
      </c>
      <c r="B4">
        <f>IF('Ins&amp;Outs'!B27 &lt; BLPLUSEX!K94,0,PLUGCALC!B13)</f>
        <v>538.22626620849803</v>
      </c>
      <c r="D4" s="3"/>
    </row>
    <row r="5" spans="1:6" x14ac:dyDescent="0.3">
      <c r="A5" t="s">
        <v>289</v>
      </c>
      <c r="B5">
        <f>IF('Ins&amp;Outs'!B27 &lt; BLPLUSEX!K94,0,PLUGCALC!B10)</f>
        <v>531.42540151994763</v>
      </c>
      <c r="D5" s="3"/>
    </row>
    <row r="6" spans="1:6" x14ac:dyDescent="0.3">
      <c r="A6" t="s">
        <v>290</v>
      </c>
      <c r="B6">
        <f>IF('Ins&amp;Outs'!B27 &lt; BLPLUSEX!K94,0,PLUGCALC!B8)</f>
        <v>6.8008646885504014</v>
      </c>
      <c r="D6" s="3"/>
    </row>
    <row r="7" spans="1:6" x14ac:dyDescent="0.3">
      <c r="A7" t="s">
        <v>352</v>
      </c>
      <c r="B7">
        <f>IF('Ins&amp;Outs'!B27 &lt; BLPLUSEX!K94,0,PENVRVPLGCALC!C58)</f>
        <v>-1</v>
      </c>
      <c r="D7" s="3"/>
      <c r="F7" s="3"/>
    </row>
    <row r="8" spans="1:6" x14ac:dyDescent="0.3">
      <c r="A8" t="s">
        <v>354</v>
      </c>
      <c r="B8">
        <f>IF('Ins&amp;Outs'!B27 &lt; BLPLUSEX!K94,0,PENVRVPLGCALC!E58)</f>
        <v>0</v>
      </c>
      <c r="D8" s="3"/>
      <c r="F8" s="3"/>
    </row>
    <row r="9" spans="1:6" x14ac:dyDescent="0.3">
      <c r="A9" t="s">
        <v>353</v>
      </c>
      <c r="B9">
        <f>IF('Ins&amp;Outs'!B27 &lt; BLPLUSEX!K94,0,PENVRVPLGCALC!D58)</f>
        <v>593</v>
      </c>
      <c r="D9" s="3"/>
      <c r="F9" s="3"/>
    </row>
    <row r="10" spans="1:6" x14ac:dyDescent="0.3">
      <c r="A10" t="s">
        <v>517</v>
      </c>
      <c r="B10">
        <f>IF('Ins&amp;Outs'!B27 &lt; BLPLUSEX!K94,0,BLPLUSEX!B108)</f>
        <v>28.105808236961941</v>
      </c>
      <c r="D10" s="3"/>
      <c r="F10" s="3"/>
    </row>
    <row r="11" spans="1:6" x14ac:dyDescent="0.3">
      <c r="A11" t="s">
        <v>518</v>
      </c>
      <c r="B11">
        <f>IF('Ins&amp;Outs'!B27 &lt; BLPLUSEX!K94,0,BLPLUSEX!B110)</f>
        <v>0.49053888850037369</v>
      </c>
      <c r="D11" s="3"/>
      <c r="F11" s="3"/>
    </row>
    <row r="12" spans="1:6" x14ac:dyDescent="0.3">
      <c r="A12" t="s">
        <v>519</v>
      </c>
      <c r="B12">
        <f>IF('Ins&amp;Outs'!B27 &lt; BLPLUSEX!K94,0,BLPLUSEX!B111)</f>
        <v>49.094191763038062</v>
      </c>
      <c r="D12" s="3"/>
      <c r="F12" s="3"/>
    </row>
    <row r="13" spans="1:6" x14ac:dyDescent="0.3">
      <c r="A13" t="s">
        <v>458</v>
      </c>
      <c r="B13">
        <f>IF('Ins&amp;Outs'!B27 &lt; BLPLUSEX!K94,0,'main calculation sheet'!B67)</f>
        <v>0</v>
      </c>
      <c r="D13" s="3"/>
    </row>
    <row r="15" spans="1:6" x14ac:dyDescent="0.3">
      <c r="A15" t="s">
        <v>530</v>
      </c>
      <c r="B15">
        <f>0.5*('Ins&amp;Outs'!B9-'Ins&amp;Outs'!B12-'Ins&amp;Outs'!B15)*'Ins&amp;Outs'!B27^2</f>
        <v>1497110027.625</v>
      </c>
    </row>
    <row r="16" spans="1:6" x14ac:dyDescent="0.3">
      <c r="A16" t="s">
        <v>531</v>
      </c>
      <c r="B16">
        <f>0.5*('Ins&amp;Outs'!B9-'Ins&amp;Outs'!B12-'Ins&amp;Outs'!B15)*IF(AND(DOCRTGOOD!B3=TRUE,DOCRTGOOD!B4=FALSE),DOCRTGOOD!B6,BLPLUSEX!L94)^2</f>
        <v>48417187.625</v>
      </c>
      <c r="D16" s="3"/>
    </row>
    <row r="17" spans="1:4" x14ac:dyDescent="0.3">
      <c r="A17" t="s">
        <v>532</v>
      </c>
      <c r="B17">
        <f>B15-B16</f>
        <v>1448692840</v>
      </c>
    </row>
    <row r="18" spans="1:4" x14ac:dyDescent="0.3">
      <c r="A18" t="s">
        <v>533</v>
      </c>
      <c r="B18">
        <f>SQRT(ABS(B17)/(0.5*('Ins&amp;Outs'!B9-'Ins&amp;Outs'!B12-'Ins&amp;Outs'!B15)))</f>
        <v>1307.3331633520202</v>
      </c>
    </row>
    <row r="19" spans="1:4" x14ac:dyDescent="0.3">
      <c r="A19" t="s">
        <v>354</v>
      </c>
      <c r="B19">
        <f>SQRT(('Ins&amp;Outs'!B9-'Ins&amp;Outs'!B12-'Ins&amp;Outs'!B15)/(('Ins&amp;Outs'!B9-'Ins&amp;Outs'!B12-'Ins&amp;Outs'!B15) + B5))*B18*COS('main calculation sheet'!B34)</f>
        <v>252.72227949995218</v>
      </c>
    </row>
    <row r="20" spans="1:4" x14ac:dyDescent="0.3">
      <c r="A20" t="s">
        <v>534</v>
      </c>
      <c r="B20">
        <f>B19 / COS('main calculation sheet'!B34)</f>
        <v>1140.7085558162773</v>
      </c>
    </row>
    <row r="21" spans="1:4" x14ac:dyDescent="0.3">
      <c r="A21" t="s">
        <v>535</v>
      </c>
      <c r="B21">
        <f>0.5*('Ins&amp;Outs'!B9-'Ins&amp;Outs'!B12-'Ins&amp;Outs'!B15)*B20^2</f>
        <v>1102943219.8934715</v>
      </c>
    </row>
    <row r="22" spans="1:4" x14ac:dyDescent="0.3">
      <c r="A22" t="s">
        <v>536</v>
      </c>
      <c r="B22">
        <f>0.5*('Ins&amp;Outs'!B9-'Ins&amp;Outs'!B12-'Ins&amp;Outs'!B15)*(B20^2)*((SIN('main calculation sheet'!B34)^2) - SIN(B11)^2)</f>
        <v>804023354.85193181</v>
      </c>
      <c r="D22" s="3"/>
    </row>
    <row r="23" spans="1:4" x14ac:dyDescent="0.3">
      <c r="A23" t="s">
        <v>537</v>
      </c>
      <c r="B23">
        <f>B21-B22</f>
        <v>298919865.04153967</v>
      </c>
    </row>
    <row r="24" spans="1:4" x14ac:dyDescent="0.3">
      <c r="A24" t="s">
        <v>538</v>
      </c>
      <c r="B24">
        <f>SQRT(B23/(0.5*('Ins&amp;Outs'!B9-'Ins&amp;Outs'!B12-'Ins&amp;Outs'!B15)))</f>
        <v>593.84828974263189</v>
      </c>
    </row>
    <row r="26" spans="1:4" x14ac:dyDescent="0.3">
      <c r="A26" t="s">
        <v>539</v>
      </c>
      <c r="B26" cm="1">
        <f t="array" ref="B26">_xlfn.IFS(DAMAGECALC!B14 &gt; 0,0.5,DAMAGECALC!B30 &gt; 0,0.667,1=1,1)</f>
        <v>0.5</v>
      </c>
    </row>
    <row r="28" spans="1:4" x14ac:dyDescent="0.3">
      <c r="A28" t="s">
        <v>540</v>
      </c>
      <c r="B28">
        <f>B24*SQRT(('Ins&amp;Outs'!B9-'Ins&amp;Outs'!B12-'Ins&amp;Outs'!B15)/(('Ins&amp;Outs'!B9-'Ins&amp;Outs'!B12-'Ins&amp;Outs'!B15) + (1-B26) * FINALRESULTS!B6))</f>
        <v>593.25359630026765</v>
      </c>
    </row>
    <row r="30" spans="1:4" x14ac:dyDescent="0.3">
      <c r="A30" t="s">
        <v>541</v>
      </c>
      <c r="B30">
        <f>IF('main calculation sheet'!B57 = 1,MODIFYVDF!B27,MODIFYVDF!B26)</f>
        <v>0.12568389999999999</v>
      </c>
    </row>
    <row r="31" spans="1:4" x14ac:dyDescent="0.3">
      <c r="A31" t="s">
        <v>542</v>
      </c>
      <c r="B31">
        <f>(1/(1-B30))*IF(AND(DOCRTGOOD!B3=TRUE,DOCRTGOOD!B4=FALSE),DOCRTGOOD!B6,BLPLUSEX!L94)</f>
        <v>273.35651259309992</v>
      </c>
      <c r="D31" s="3"/>
    </row>
    <row r="32" spans="1:4" x14ac:dyDescent="0.3">
      <c r="A32" t="s">
        <v>543</v>
      </c>
      <c r="B32">
        <f>IF(IF(AND(DOCRTGOOD!B3=TRUE,DOCRTGOOD!B4=FALSE),DOCRTGOOD!B7,BLPLUSEX!L94) &lt; B31,IF(AND(DOCRTGOOD!B3=TRUE,DOCRTGOOD!B4=FALSE),DOCRTGOOD!B7,BLPLUSEX!L94),B31)</f>
        <v>239</v>
      </c>
      <c r="D32" s="3"/>
    </row>
    <row r="33" spans="1:4" x14ac:dyDescent="0.3">
      <c r="A33" t="s">
        <v>544</v>
      </c>
      <c r="B33">
        <f>0.5*('Ins&amp;Outs'!B9-'Ins&amp;Outs'!B12-'Ins&amp;Outs'!B15)*B32^2</f>
        <v>48417187.625</v>
      </c>
    </row>
    <row r="34" spans="1:4" x14ac:dyDescent="0.3">
      <c r="A34" t="s">
        <v>545</v>
      </c>
      <c r="B34">
        <f>B33-B16</f>
        <v>0</v>
      </c>
    </row>
    <row r="35" spans="1:4" x14ac:dyDescent="0.3">
      <c r="A35" t="s">
        <v>546</v>
      </c>
      <c r="B35">
        <f>SQRT(B34/(0.5*('Ins&amp;Outs'!B9-'Ins&amp;Outs'!B12-'Ins&amp;Outs'!B15)))</f>
        <v>0</v>
      </c>
    </row>
    <row r="36" spans="1:4" x14ac:dyDescent="0.3">
      <c r="A36" t="s">
        <v>547</v>
      </c>
      <c r="B36">
        <f>SQRT(('Ins&amp;Outs'!B9-'Ins&amp;Outs'!B12-'Ins&amp;Outs'!B15)/(('Ins&amp;Outs'!B9-'Ins&amp;Outs'!B12-'Ins&amp;Outs'!B15) + B5)) * B35 * COS('main calculation sheet'!B34)</f>
        <v>0</v>
      </c>
    </row>
    <row r="37" spans="1:4" x14ac:dyDescent="0.3">
      <c r="A37" t="s">
        <v>548</v>
      </c>
      <c r="B37">
        <f>B36/COS('main calculation sheet'!B34)</f>
        <v>0</v>
      </c>
    </row>
    <row r="38" spans="1:4" x14ac:dyDescent="0.3">
      <c r="A38" t="s">
        <v>549</v>
      </c>
      <c r="B38">
        <f>0.5*('Ins&amp;Outs'!B9-'Ins&amp;Outs'!B12-'Ins&amp;Outs'!B15)*B37^2</f>
        <v>0</v>
      </c>
    </row>
    <row r="39" spans="1:4" x14ac:dyDescent="0.3">
      <c r="A39" t="s">
        <v>550</v>
      </c>
      <c r="B39">
        <f>0.5*('Ins&amp;Outs'!B9-'Ins&amp;Outs'!B12-'Ins&amp;Outs'!B15)*(B37^2)*((SIN('main calculation sheet'!B34)^2)-(SIN(B11)^2))</f>
        <v>0</v>
      </c>
      <c r="D39" s="3"/>
    </row>
    <row r="40" spans="1:4" x14ac:dyDescent="0.3">
      <c r="A40" t="s">
        <v>551</v>
      </c>
      <c r="B40">
        <f>B38-B39</f>
        <v>0</v>
      </c>
    </row>
    <row r="41" spans="1:4" x14ac:dyDescent="0.3">
      <c r="A41" t="s">
        <v>552</v>
      </c>
      <c r="B41">
        <f>SQRT(B40/(0.5*('Ins&amp;Outs'!B9-'Ins&amp;Outs'!B12-'Ins&amp;Outs'!B15)))</f>
        <v>0</v>
      </c>
    </row>
    <row r="42" spans="1:4" x14ac:dyDescent="0.3">
      <c r="A42" t="s">
        <v>529</v>
      </c>
      <c r="B42">
        <f>IF(OR('Ins&amp;Outs'!B27 &lt; BLPLUSEX!K94,'Ins&amp;Outs'!B27 &lt; BLPLUSEX!I94),-1,SQRT((('Ins&amp;Outs'!B9-'Ins&amp;Outs'!B12-'Ins&amp;Outs'!B15)/(('Ins&amp;Outs'!B9-'Ins&amp;Outs'!B12-'Ins&amp;Outs'!B15) + B26 * B6)) * B24^2 - B41^2))</f>
        <v>-1</v>
      </c>
      <c r="D42" s="3"/>
    </row>
  </sheetData>
  <sheetProtection algorithmName="SHA-512" hashValue="BeLLUf1KdLqWYAEdNymYkN3lWV3oN0eJ8KLcsNggKUvhqC18KnN4J0m8s2SkUJ5Xf5mNM4UxdVItW7PflVqLtw==" saltValue="fcik2dZeocSts2kzM2wQOw=="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AAE4-ECC4-4EAF-BC72-44F73FC0376B}">
  <sheetPr codeName="Sheet37"/>
  <dimension ref="A1:D4"/>
  <sheetViews>
    <sheetView workbookViewId="0">
      <selection activeCell="E43" sqref="E43"/>
    </sheetView>
  </sheetViews>
  <sheetFormatPr defaultRowHeight="14.4" x14ac:dyDescent="0.3"/>
  <sheetData>
    <row r="1" spans="1:4" x14ac:dyDescent="0.3">
      <c r="A1" t="s">
        <v>831</v>
      </c>
    </row>
    <row r="3" spans="1:4" x14ac:dyDescent="0.3">
      <c r="A3" t="s">
        <v>299</v>
      </c>
      <c r="B3">
        <f>IF(AND(BLPLUSEX!B104 = 0,OR(SETMINEV!B7 &gt; BLPLUSEX!K94,MINEVSHATCALC!B4 = 3,'Projectile Data'!AP4 &gt; 0)),10,DAMAGECALC!B14)</f>
        <v>4</v>
      </c>
      <c r="D3" s="3"/>
    </row>
    <row r="4" spans="1:4" x14ac:dyDescent="0.3">
      <c r="A4" t="s">
        <v>329</v>
      </c>
      <c r="B4">
        <f>IF(AND(BLPLUSEX!B104 = 0,OR(SETMINEV!B7 &gt; BLPLUSEX!K94,MINEVSHATCALC!B4 = 3,'Projectile Data'!AP4 &gt; 0)),1,DAMAGECALC!B23)</f>
        <v>1</v>
      </c>
      <c r="D4" s="3"/>
    </row>
  </sheetData>
  <sheetProtection algorithmName="SHA-512" hashValue="MA9chuY3mZH7C7N97+KgM6m987EIOWyT96PtYF5xY0rD35IP9+YU0ZE3167Lf4FcEUK3V44EBkJ/+D7xcPmROA==" saltValue="XDCuFl0p15AVK3XKX9A0WQ=="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24246-709D-4105-A13B-B781C63A9FFB}">
  <sheetPr codeName="Sheet38"/>
  <dimension ref="A1:B48"/>
  <sheetViews>
    <sheetView workbookViewId="0">
      <selection activeCell="E43" sqref="E43"/>
    </sheetView>
  </sheetViews>
  <sheetFormatPr defaultRowHeight="14.4" x14ac:dyDescent="0.3"/>
  <sheetData>
    <row r="1" spans="1:2" x14ac:dyDescent="0.3">
      <c r="A1" t="s">
        <v>831</v>
      </c>
    </row>
    <row r="3" spans="1:2" x14ac:dyDescent="0.3">
      <c r="A3" t="s">
        <v>636</v>
      </c>
    </row>
    <row r="4" spans="1:2" x14ac:dyDescent="0.3">
      <c r="A4" t="s">
        <v>637</v>
      </c>
    </row>
    <row r="5" spans="1:2" x14ac:dyDescent="0.3">
      <c r="A5" t="s">
        <v>638</v>
      </c>
    </row>
    <row r="6" spans="1:2" x14ac:dyDescent="0.3">
      <c r="A6" t="s">
        <v>639</v>
      </c>
    </row>
    <row r="7" spans="1:2" x14ac:dyDescent="0.3">
      <c r="A7" t="s">
        <v>640</v>
      </c>
    </row>
    <row r="8" spans="1:2" x14ac:dyDescent="0.3">
      <c r="A8" t="s">
        <v>641</v>
      </c>
    </row>
    <row r="9" spans="1:2" x14ac:dyDescent="0.3">
      <c r="A9" t="s">
        <v>642</v>
      </c>
    </row>
    <row r="10" spans="1:2" x14ac:dyDescent="0.3">
      <c r="A10" t="s">
        <v>643</v>
      </c>
    </row>
    <row r="12" spans="1:2" x14ac:dyDescent="0.3">
      <c r="A12" t="s">
        <v>655</v>
      </c>
    </row>
    <row r="13" spans="1:2" x14ac:dyDescent="0.3">
      <c r="A13" t="s">
        <v>644</v>
      </c>
      <c r="B13">
        <v>0</v>
      </c>
    </row>
    <row r="14" spans="1:2" x14ac:dyDescent="0.3">
      <c r="A14" t="s">
        <v>388</v>
      </c>
      <c r="B14">
        <v>0</v>
      </c>
    </row>
    <row r="15" spans="1:2" x14ac:dyDescent="0.3">
      <c r="A15" t="s">
        <v>645</v>
      </c>
      <c r="B15">
        <v>0</v>
      </c>
    </row>
    <row r="16" spans="1:2" x14ac:dyDescent="0.3">
      <c r="A16" t="s">
        <v>646</v>
      </c>
      <c r="B16">
        <v>0</v>
      </c>
    </row>
    <row r="17" spans="1:2" x14ac:dyDescent="0.3">
      <c r="A17" t="s">
        <v>647</v>
      </c>
      <c r="B17">
        <v>0</v>
      </c>
    </row>
    <row r="18" spans="1:2" x14ac:dyDescent="0.3">
      <c r="A18" t="s">
        <v>648</v>
      </c>
      <c r="B18">
        <v>0</v>
      </c>
    </row>
    <row r="19" spans="1:2" x14ac:dyDescent="0.3">
      <c r="A19" t="s">
        <v>387</v>
      </c>
      <c r="B19">
        <v>0</v>
      </c>
    </row>
    <row r="20" spans="1:2" x14ac:dyDescent="0.3">
      <c r="A20" t="s">
        <v>649</v>
      </c>
      <c r="B20">
        <v>0</v>
      </c>
    </row>
    <row r="21" spans="1:2" x14ac:dyDescent="0.3">
      <c r="A21" t="s">
        <v>650</v>
      </c>
      <c r="B21">
        <v>0</v>
      </c>
    </row>
    <row r="22" spans="1:2" x14ac:dyDescent="0.3">
      <c r="A22" t="s">
        <v>651</v>
      </c>
      <c r="B22">
        <v>0</v>
      </c>
    </row>
    <row r="23" spans="1:2" x14ac:dyDescent="0.3">
      <c r="A23" t="s">
        <v>652</v>
      </c>
      <c r="B23">
        <v>0</v>
      </c>
    </row>
    <row r="24" spans="1:2" x14ac:dyDescent="0.3">
      <c r="A24" t="s">
        <v>653</v>
      </c>
      <c r="B24">
        <v>0</v>
      </c>
    </row>
    <row r="25" spans="1:2" x14ac:dyDescent="0.3">
      <c r="A25" t="s">
        <v>654</v>
      </c>
      <c r="B25">
        <v>0</v>
      </c>
    </row>
    <row r="26" spans="1:2" x14ac:dyDescent="0.3">
      <c r="A26" t="s">
        <v>358</v>
      </c>
      <c r="B26">
        <f>IF('main calculation sheet'!B57 = 1,0,IF('Ins&amp;Outs'!B30 &gt; 15,15,'Ins&amp;Outs'!B30))</f>
        <v>15</v>
      </c>
    </row>
    <row r="32" spans="1:2" x14ac:dyDescent="0.3">
      <c r="A32" t="s">
        <v>644</v>
      </c>
      <c r="B32">
        <f>SETMINEV!B7</f>
        <v>25114</v>
      </c>
    </row>
    <row r="33" spans="1:2" x14ac:dyDescent="0.3">
      <c r="A33" t="s">
        <v>388</v>
      </c>
      <c r="B33">
        <f>IF('main calculation sheet'!B57 = 1,MINEVSHATCALC!B4,B14)</f>
        <v>0</v>
      </c>
    </row>
    <row r="34" spans="1:2" x14ac:dyDescent="0.3">
      <c r="A34" t="s">
        <v>645</v>
      </c>
      <c r="B34">
        <f>B15</f>
        <v>0</v>
      </c>
    </row>
    <row r="35" spans="1:2" x14ac:dyDescent="0.3">
      <c r="A35" t="s">
        <v>646</v>
      </c>
      <c r="B35">
        <f>IF('main calculation sheet'!B57 = 1,B16,IF(AND(BLPLUSEX!K27 = -1,CALCBL!B24 &gt; 0),THRESHOLDCALC!C25,B16))</f>
        <v>25114.853333333336</v>
      </c>
    </row>
    <row r="36" spans="1:2" x14ac:dyDescent="0.3">
      <c r="A36" t="s">
        <v>647</v>
      </c>
      <c r="B36">
        <v>0</v>
      </c>
    </row>
    <row r="37" spans="1:2" x14ac:dyDescent="0.3">
      <c r="A37" t="s">
        <v>648</v>
      </c>
      <c r="B37">
        <f>B18</f>
        <v>0</v>
      </c>
    </row>
    <row r="38" spans="1:2" x14ac:dyDescent="0.3">
      <c r="A38" t="s">
        <v>387</v>
      </c>
      <c r="B38">
        <f>IF('main calculation sheet'!B57 = 1,MINEVSHATCALC!B3,B19)</f>
        <v>0</v>
      </c>
    </row>
    <row r="39" spans="1:2" x14ac:dyDescent="0.3">
      <c r="A39" t="s">
        <v>649</v>
      </c>
      <c r="B39">
        <f>IF('main calculation sheet'!B57 = 1,B20,IF('Projectile Data'!AS4 &gt; 0,IF('Projectile Data'!AS4 = 2,IF(INT(THRESHOLDCALC!C52) = THRESHOLDCALC!C52,INT(THRESHOLDCALC!C52),INT(THRESHOLDCALC!C52) + 1),BLPLUSEX!I94),0))</f>
        <v>0</v>
      </c>
    </row>
    <row r="40" spans="1:2" x14ac:dyDescent="0.3">
      <c r="A40" t="s">
        <v>698</v>
      </c>
      <c r="B40" cm="1">
        <f t="array" ref="B40">_xlfn.IFS(INT(THRESHOLDCALC!C51)&gt;=BLPLUSEX!I94,INT(THRESHOLDCALC!C25),AND(INT(THRESHOLDCALC!C51)&lt;BLPLUSEX!I94,INT(THRESHOLDCALC!C25)&lt;=INT(THRESHOLDCALC!C51)),INT(THRESHOLDCALC!C25),AND(INT(THRESHOLDCALC!C51)&lt;BLPLUSEX!I94,INT(THRESHOLDCALC!C25)&gt;INT(THRESHOLDCALC!C51),INT(THRESHOLDCALC!C25)&lt;BLPLUSEX!I94),INT(THRESHOLDCALC!C51),1=1,INT(THRESHOLDCALC!C25))</f>
        <v>25114</v>
      </c>
    </row>
    <row r="41" spans="1:2" x14ac:dyDescent="0.3">
      <c r="A41" t="s">
        <v>703</v>
      </c>
      <c r="B41" s="1" t="str" cm="1">
        <f t="array" ref="B41">_xlfn.IFS(INT(THRESHOLDCALC!C51) &gt;= BLPLUSEX!I94,"",AND(INT(THRESHOLDCALC!C51) &lt; BLPLUSEX!I94,INT(THRESHOLDCALC!C25) &lt;= INT(THRESHOLDCALC!C51)),"",AND(INT(THRESHOLDCALC!C51) &lt; BLPLUSEX!I94,INT(THRESHOLDCALC!C25) &gt; INT(THRESHOLDCALC!C51),INT(THRESHOLDCALC!C25) &lt; BLPLUSEX!I94),"",1=1,CONCATENATE("NO NOSE OR BODY DAMAGE IF VEL IS BETWEEN ",INT(THRESHOLDCALC!C51)," FT/SEC (NOSE MAX) &amp; NBL (BODY MIN)"))</f>
        <v/>
      </c>
    </row>
    <row r="42" spans="1:2" x14ac:dyDescent="0.3">
      <c r="A42" t="s">
        <v>705</v>
      </c>
      <c r="B42" s="1" t="str">
        <f>IF(AND(B41="",BLPLUSEX!I94 = BLPLUSEX!K32,'Projectile Data'!AP4 = 0,B40 &lt; BLPLUSEX!I94),IF('Projectile Data'!AQ4 &gt; 0,"USUALLY MINOR PROJ DAMAGE IF PLATE HOLED BELOW NBL; BREAKAGE LIKELY IF NO HOLE","USUALLY MINOR PROJ DAMAGE IF PLATE HIT BELOW NBL, WITH OR WITHOUT A HOLE"),B41)</f>
        <v/>
      </c>
    </row>
    <row r="43" spans="1:2" x14ac:dyDescent="0.3">
      <c r="A43" t="s">
        <v>650</v>
      </c>
      <c r="B43" s="1" cm="1">
        <f t="array" ref="B43">IF('main calculation sheet'!B57 = 1,B21,_xlfn.IFS(AND(BLPLUSEX!K27 = -1,CALCBL!B24 &gt; 0),IF(AND(B41="",BLPLUSEX!I94 = BLPLUSEX!K32,'Projectile Data'!AP4 = 0,B40 &lt; BLPLUSEX!I94),BLPLUSEX!K94,B40),BLPLUSEX!K27 &gt; -1,IF(AND(BLPLUSEX!K27 = BLPLUSEX!K32,'Projectile Data'!AP4 = 0),BLPLUSEX!K94,BLPLUSEX!K27),AND('Projectile Data'!AW4 = 1,'Ins&amp;Outs'!B30 &gt;= CALCBL!B27),IF('Projectile Data'!AX4 = 1,BLPLUSEX!K34,-1),1=1,0))</f>
        <v>25114</v>
      </c>
    </row>
    <row r="44" spans="1:2" x14ac:dyDescent="0.3">
      <c r="A44" t="s">
        <v>651</v>
      </c>
      <c r="B44">
        <f>IF('main calculation sheet'!B57 = 1,B22,IF('Ins&amp;Outs'!B30 &gt; DAMAGECALC!B3,IF(BLPLUSEX!B14 = 0,BLPLUSEX!I94,0),B22))</f>
        <v>6238</v>
      </c>
    </row>
    <row r="45" spans="1:2" x14ac:dyDescent="0.3">
      <c r="A45" t="s">
        <v>652</v>
      </c>
      <c r="B45">
        <f>IF('main calculation sheet'!B57 = 1,B23,IF('Projectile Data'!AP4 &gt; 0,IF(AND('Armor Data'!AM4 = 1,'Projectile Data'!AQ4 &lt; 2),BLPLUSEX!K94,BLPLUSEX!I94),B23))</f>
        <v>0</v>
      </c>
    </row>
    <row r="46" spans="1:2" x14ac:dyDescent="0.3">
      <c r="A46" t="s">
        <v>704</v>
      </c>
      <c r="B46" t="str" cm="1">
        <f t="array" ref="B46">IF('main calculation sheet'!B57 = 1,B21,_xlfn.IFS(AND(BLPLUSEX!K27 = -1,CALCBL!B24 &gt; 0),B42,BLPLUSEX!K27 &gt; -1,B42,AND('Projectile Data'!AW4 = 1,'Ins&amp;Outs'!B30 &gt;= CALCBL!B27),IF('Projectile Data'!AX4 = 1,"BRITISH DEFORMING CARDONALD PROJECTILE","BRITISH DEFORMING NON-CARDONALD PROJECTILE"),1=1,""))</f>
        <v/>
      </c>
    </row>
    <row r="48" spans="1:2" x14ac:dyDescent="0.3">
      <c r="A48" t="s">
        <v>708</v>
      </c>
      <c r="B48">
        <f>B32</f>
        <v>25114</v>
      </c>
    </row>
  </sheetData>
  <sheetProtection algorithmName="SHA-512" hashValue="SnN83dIJIfbQrzZ8vtiwlKZVPj5PBYzo3i6VTjWt29eqHkLYJFB7o59oWw/0akCxVnxL9HYLUNeMZvBeCLw9YA==" saltValue="9Uwe3xW11u0h/AcRP2f3gw=="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60B24-E524-4674-B16E-7E0DDCCFE89C}">
  <sheetPr codeName="Sheet39"/>
  <dimension ref="A1:C65"/>
  <sheetViews>
    <sheetView workbookViewId="0">
      <selection activeCell="E43" sqref="E43"/>
    </sheetView>
  </sheetViews>
  <sheetFormatPr defaultRowHeight="14.4" x14ac:dyDescent="0.3"/>
  <sheetData>
    <row r="1" spans="1:3" x14ac:dyDescent="0.3">
      <c r="A1" t="s">
        <v>831</v>
      </c>
    </row>
    <row r="3" spans="1:3" x14ac:dyDescent="0.3">
      <c r="A3" t="s">
        <v>695</v>
      </c>
      <c r="B3" t="b">
        <f>IF(DAMAGECALC!B30 = 8,TRUE,FALSE)</f>
        <v>0</v>
      </c>
    </row>
    <row r="4" spans="1:3" x14ac:dyDescent="0.3">
      <c r="B4" t="s">
        <v>694</v>
      </c>
      <c r="C4" t="str">
        <f>IF(B3=TRUE," HOLING BL (TOUGH PROJ VS HARVEY ARMOR)","")</f>
        <v/>
      </c>
    </row>
    <row r="5" spans="1:3" x14ac:dyDescent="0.3">
      <c r="B5" t="s">
        <v>696</v>
      </c>
      <c r="C5">
        <f>IF(B3=TRUE,1,0)</f>
        <v>0</v>
      </c>
    </row>
    <row r="7" spans="1:3" x14ac:dyDescent="0.3">
      <c r="A7" t="s">
        <v>697</v>
      </c>
      <c r="B7" s="1" t="b">
        <f>IF(AND(BLPLUSEX!B14 = 1,OR(SETUPSECPG!B32 &lt;= 0,SETUPSECPG!B32 &gt;= BLPLUSEX!K94),C5=0),TRUE,FALSE)</f>
        <v>0</v>
      </c>
    </row>
    <row r="8" spans="1:3" x14ac:dyDescent="0.3">
      <c r="B8" t="s">
        <v>644</v>
      </c>
      <c r="C8">
        <f>IF(AND(B7=TRUE,OR(SETUPSECPG!B32 = 0,SETUPSECPG!B38 = -1,SETUPSECPG!B43 = -1)),0,SETUPSECPG!B32)</f>
        <v>25114</v>
      </c>
    </row>
    <row r="9" spans="1:3" x14ac:dyDescent="0.3">
      <c r="B9" t="s">
        <v>388</v>
      </c>
      <c r="C9" s="1" cm="1">
        <f t="array" ref="C9">IF(B7=TRUE,_xlfn.IFS(OR(SETUPSECPG!B32 = 0,SETUPSECPG!B38 = -1,SETUPSECPG!B43 = -1),2,AND(SETUPSECPG!B32 &gt; BLPLUSEX!K94,SETUPSECPG!B32 &lt;= BLPLUSEX!I94),3,SETUPSECPG!B32 &gt; BLPLUSEX!I94,4,1=1,SETUPSECPG!B33),SETUPSECPG!B33)</f>
        <v>0</v>
      </c>
    </row>
    <row r="11" spans="1:3" x14ac:dyDescent="0.3">
      <c r="A11" t="s">
        <v>709</v>
      </c>
      <c r="B11" t="b">
        <f>IF(AND('Projectile Data'!AS4 &gt; 0,C5=0),TRUE,FALSE)</f>
        <v>0</v>
      </c>
    </row>
    <row r="12" spans="1:3" x14ac:dyDescent="0.3">
      <c r="B12" t="s">
        <v>694</v>
      </c>
      <c r="C12" t="str">
        <f>IF(B11=TRUE,IF('main calculation sheet'!B57 = 1," NEVER (NOSE SHATTER REACHES CAVITY)",C4),C4)</f>
        <v/>
      </c>
    </row>
    <row r="13" spans="1:3" x14ac:dyDescent="0.3">
      <c r="B13" t="s">
        <v>696</v>
      </c>
      <c r="C13">
        <f>IF(AND(B11=TRUE,'main calculation sheet'!B57 = 1),1,C5)</f>
        <v>0</v>
      </c>
    </row>
    <row r="14" spans="1:3" x14ac:dyDescent="0.3">
      <c r="B14" t="s">
        <v>710</v>
      </c>
      <c r="C14" t="str">
        <f>IF(B11=TRUE,IF('main calculation sheet'!B57=1,IF(C9 = 1,IF('main calculation sheet'!B28=1,"SPECIAL SOFT CAP &amp; EXTRA-TOUGH PLATE NOSE-ONLY SHATTER RULE:","SPECIAL HOOD &amp; NOT-EXTRA-TOUGH PLATE NOSE-ONLY SHATTER RULE:"),""),""),"")</f>
        <v/>
      </c>
    </row>
    <row r="15" spans="1:3" x14ac:dyDescent="0.3">
      <c r="B15" t="s">
        <v>711</v>
      </c>
      <c r="C15" t="str">
        <f>IF(B11=TRUE,IF('main calculation sheet'!B57=1,IF(C9 = 1,"Nose-only shatter if Complete Penetration @ OB&lt;=15deg, sometimes if 15&lt;OB&lt;20deg.",""),""),"")</f>
        <v/>
      </c>
    </row>
    <row r="16" spans="1:3" x14ac:dyDescent="0.3">
      <c r="B16" t="s">
        <v>712</v>
      </c>
      <c r="C16" t="str">
        <f>IF(B11=TRUE,IF('main calculation sheet'!B57=1,IF(C9 = 1,"Complete shatter of this projectile against this armor will occur otherwise.",""),""),"")</f>
        <v/>
      </c>
    </row>
    <row r="17" spans="1:3" x14ac:dyDescent="0.3">
      <c r="B17" t="s">
        <v>645</v>
      </c>
      <c r="C17" s="1">
        <f>IF(AND(B11=TRUE,C13=0,SETUPSECPG!B32 &gt; 0,SETUPSECPG!B32=SETUPSECPG!B39),1,0)</f>
        <v>0</v>
      </c>
    </row>
    <row r="18" spans="1:3" x14ac:dyDescent="0.3">
      <c r="B18" t="s">
        <v>388</v>
      </c>
      <c r="C18">
        <f>IF(AND(B11=TRUE,C13=0,SETUPSECPG!B32 &gt; 0,SETUPSECPG!B32=SETUPSECPG!B39),0,C9)</f>
        <v>0</v>
      </c>
    </row>
    <row r="20" spans="1:3" x14ac:dyDescent="0.3">
      <c r="A20" t="s">
        <v>713</v>
      </c>
      <c r="B20" t="b">
        <f>IF(AND(C18 &gt;= 2,C13 = 0),TRUE,FALSE)</f>
        <v>0</v>
      </c>
    </row>
    <row r="21" spans="1:3" x14ac:dyDescent="0.3">
      <c r="B21" t="s">
        <v>714</v>
      </c>
      <c r="C21" t="str">
        <f>IF(AND(C18 = 4,B20=TRUE),SETUPSECPG!B48,"")</f>
        <v/>
      </c>
    </row>
    <row r="22" spans="1:3" x14ac:dyDescent="0.3">
      <c r="B22" t="s">
        <v>715</v>
      </c>
      <c r="C22" t="str">
        <f>IF(AND(C18 = 4,B20=TRUE),IF(BLPLUSEX!K94 &lt;= 4000," *AND*",""),"")</f>
        <v/>
      </c>
    </row>
    <row r="23" spans="1:3" x14ac:dyDescent="0.3">
      <c r="B23" t="s">
        <v>716</v>
      </c>
      <c r="C23" t="str">
        <f>IF(AND(OR(C18 = 2,C18 = 4),B20=TRUE,BLPLUSEX!K94 &lt;= 4000)," *AND*","")</f>
        <v/>
      </c>
    </row>
    <row r="24" spans="1:3" x14ac:dyDescent="0.3">
      <c r="B24" t="s">
        <v>710</v>
      </c>
      <c r="C24" t="str">
        <f>IF(AND(OR(C18 = 2,C18 = 4),B20=TRUE,BLPLUSEX!K94 &lt;= 4000),"SPECIAL CURVED-PLATE RULE FOR BODY DAMAGE:",C14)</f>
        <v/>
      </c>
    </row>
    <row r="25" spans="1:3" x14ac:dyDescent="0.3">
      <c r="B25" t="s">
        <v>711</v>
      </c>
      <c r="C25" t="str">
        <f>IF(AND(OR(C18 = 2,C18 = 4),B20=TRUE,BLPLUSEX!K94 &lt;= 4000)," Strong steel projectiles frequently remain effective against curved plates at",C15)</f>
        <v/>
      </c>
    </row>
    <row r="26" spans="1:3" x14ac:dyDescent="0.3">
      <c r="B26" t="s">
        <v>712</v>
      </c>
      <c r="C26" t="str">
        <f>IF(AND(OR(C18 = 2,C18 = 4),B20=TRUE,BLPLUSEX!K94 &lt;= 4000)," over 45 degrees obliquity if Striking Velocity is between Holing BL &amp; Navy BL.",C16)</f>
        <v/>
      </c>
    </row>
    <row r="27" spans="1:3" x14ac:dyDescent="0.3">
      <c r="B27" t="s">
        <v>717</v>
      </c>
      <c r="C27" t="str" cm="1">
        <f t="array" ref="C27">IF(AND(OR(C18 = 2,C18 = 4),B20=TRUE,BLPLUSEX!K94 &lt;= 4000),_xlfn.IFS('main calculation sheet'!B57 = 1," Complete shatter of this projectile will occur otherwise.",AND('Projectile Data'!AW4 = 1,'Ins&amp;Outs'!B30 &gt;= CALCBL!B27,'Projectile Data'!AX4 = 0)," Complete breakup of this projectile will occur otherwise.",1=1,IF(SETUPSECPG!B32 = BLPLUSEX!K94," Other effects keep projectile effective above Navy BL.","")),"")</f>
        <v/>
      </c>
    </row>
    <row r="28" spans="1:3" x14ac:dyDescent="0.3">
      <c r="B28" t="s">
        <v>696</v>
      </c>
      <c r="C28">
        <f>IF(AND(OR(C18 = 2,C18 = 4),B20=TRUE,BLPLUSEX!K94 &lt;= 4000),1,C13)</f>
        <v>0</v>
      </c>
    </row>
    <row r="30" spans="1:3" x14ac:dyDescent="0.3">
      <c r="A30" t="s">
        <v>718</v>
      </c>
      <c r="B30" t="b">
        <f>IF(AND(C18 = 3,C28=0),TRUE,FALSE)</f>
        <v>0</v>
      </c>
    </row>
    <row r="31" spans="1:3" x14ac:dyDescent="0.3">
      <c r="B31" t="s">
        <v>644</v>
      </c>
      <c r="C31">
        <f>IF(B30=TRUE,BLPLUSEX!K94,C8)</f>
        <v>25114</v>
      </c>
    </row>
    <row r="32" spans="1:3" x14ac:dyDescent="0.3">
      <c r="B32" t="s">
        <v>694</v>
      </c>
      <c r="C32" t="str">
        <f>IF(AND(C18 &lt;&gt; 3,C13=0),IF(AND(SETUPSECPG!B32 = 0,SETUPSECPG!B38 &lt;&gt; -1,SETUPSECPG!B43 &lt;&gt; -1)," USUALLY EFFECTIVE (CAVITY IMMUNE TO NOSE DAMAGE)",C12),C12)</f>
        <v/>
      </c>
    </row>
    <row r="33" spans="1:3" x14ac:dyDescent="0.3">
      <c r="B33" t="s">
        <v>696</v>
      </c>
      <c r="C33">
        <f>IF(AND(C18 &lt;&gt; 3,C28=0),IF(AND(SETUPSECPG!B32 = 0,SETUPSECPG!B38 &lt;&gt; -1,SETUPSECPG!B43 &lt;&gt; -1),1,C28),C28)</f>
        <v>0</v>
      </c>
    </row>
    <row r="34" spans="1:3" x14ac:dyDescent="0.3">
      <c r="B34" t="s">
        <v>710</v>
      </c>
      <c r="C34" t="str">
        <f>IF(AND(C18 &lt;&gt; 3,C13=0),IF(AND(SETUPSECPG!B32 = 0,SETUPSECPG!B38 &lt;&gt; -1,SETUPSECPG!B43 &lt;&gt; -1),IF(C18 = 1,IF('main calculation sheet'!B28=1,"SPECIAL SOFT CAP &amp; EXTRA-TOUGH PLATE NOSE-ONLY SHATTER RULE:","SPECIAL HOOD &amp; NOT-EXTRA-TOUGH PLATE NOSE-ONLY SHATTER RULE:"),""),C24),C24)</f>
        <v/>
      </c>
    </row>
    <row r="35" spans="1:3" x14ac:dyDescent="0.3">
      <c r="B35" t="s">
        <v>711</v>
      </c>
      <c r="C35" t="str">
        <f>IF(AND(C18 &lt;&gt; 3,C13=0),IF(AND(SETUPSECPG!B32 = 0,SETUPSECPG!B38 &lt;&gt; -1,SETUPSECPG!B43 &lt;&gt; -1),IF(C18 = 1,"Nose-only shatter if Complete Penetration @ OB&lt;=15deg, sometimes if 15&lt;OB&lt;20deg.",""),C25),C25)</f>
        <v/>
      </c>
    </row>
    <row r="36" spans="1:3" x14ac:dyDescent="0.3">
      <c r="B36" t="s">
        <v>712</v>
      </c>
      <c r="C36" t="str">
        <f>IF(AND(C18 &lt;&gt; 3,C13=0),IF(AND(SETUPSECPG!B32 = 0,SETUPSECPG!B38 &lt;&gt; -1,SETUPSECPG!B43 &lt;&gt; -1),IF(C18 = 1,"Complete shatter of this projectile against this armor will occur otherwise.",""),C26),C26)</f>
        <v/>
      </c>
    </row>
    <row r="38" spans="1:3" x14ac:dyDescent="0.3">
      <c r="A38" t="s">
        <v>719</v>
      </c>
      <c r="B38" t="b">
        <f>IF(AND(C33 = 0,SETUPSECPG!B32 = 0,SETUPSECPG!B38 = -1),TRUE,FALSE)</f>
        <v>0</v>
      </c>
    </row>
    <row r="39" spans="1:3" x14ac:dyDescent="0.3">
      <c r="B39" t="s">
        <v>694</v>
      </c>
      <c r="C39" t="str">
        <f>IF(B38=TRUE," NEVER (COMPLETE SHATTER)",C32)</f>
        <v/>
      </c>
    </row>
    <row r="40" spans="1:3" x14ac:dyDescent="0.3">
      <c r="B40" t="s">
        <v>696</v>
      </c>
      <c r="C40">
        <f>IF(B38=TRUE,1,C33)</f>
        <v>0</v>
      </c>
    </row>
    <row r="42" spans="1:3" x14ac:dyDescent="0.3">
      <c r="A42" t="s">
        <v>720</v>
      </c>
      <c r="B42" t="b">
        <f>IF(AND(SETUPSECPG!B43 = -1,C40 = 0),TRUE,FALSE)</f>
        <v>0</v>
      </c>
    </row>
    <row r="43" spans="1:3" x14ac:dyDescent="0.3">
      <c r="B43" t="s">
        <v>648</v>
      </c>
      <c r="C43">
        <f>IF(B42=TRUE,1,SETUPSECPG!B37)</f>
        <v>0</v>
      </c>
    </row>
    <row r="44" spans="1:3" x14ac:dyDescent="0.3">
      <c r="B44" t="s">
        <v>694</v>
      </c>
      <c r="C44" t="str">
        <f>IF(B42=TRUE," RARELY EFFECTIVE.  EXCEEDS BREAKAGE ANGLE (DEGREES):",C32)</f>
        <v/>
      </c>
    </row>
    <row r="45" spans="1:3" x14ac:dyDescent="0.3">
      <c r="B45" t="s">
        <v>696</v>
      </c>
      <c r="C45">
        <f>IF(B42=TRUE,1,C40)</f>
        <v>0</v>
      </c>
    </row>
    <row r="47" spans="1:3" x14ac:dyDescent="0.3">
      <c r="A47" t="s">
        <v>721</v>
      </c>
      <c r="B47" cm="1">
        <f t="array" ref="B47">_xlfn.IFS(AND('main calculation sheet'!B28 = -1,'Projectile Data'!AQ4 &lt; 2,SETUPSECPG!B32 &lt;= BLPLUSEX!I94,C45=0),1,AND(SETUPSECPG!B32 &lt;&gt; BLPLUSEX!I94,SETUPSECPG!B32 &gt; BLPLUSEX!K94,C45=0),2,AND(1=1,C45=0),3,1=1,FALSE)</f>
        <v>2</v>
      </c>
    </row>
    <row r="48" spans="1:3" x14ac:dyDescent="0.3">
      <c r="B48" t="s">
        <v>694</v>
      </c>
      <c r="C48" t="str">
        <f>IF(B47=1," NAVY BL",C44)</f>
        <v/>
      </c>
    </row>
    <row r="49" spans="1:3" x14ac:dyDescent="0.3">
      <c r="B49" t="s">
        <v>648</v>
      </c>
      <c r="C49">
        <f>IF(B47=1,0,C43)</f>
        <v>0</v>
      </c>
    </row>
    <row r="50" spans="1:3" x14ac:dyDescent="0.3">
      <c r="B50" t="s">
        <v>645</v>
      </c>
      <c r="C50">
        <f>IF(B47=1,1,C17)</f>
        <v>0</v>
      </c>
    </row>
    <row r="51" spans="1:3" x14ac:dyDescent="0.3">
      <c r="B51" t="s">
        <v>714</v>
      </c>
      <c r="C51">
        <f>IF(B47=2,SETUPSECPG!B48,C21)</f>
        <v>25114</v>
      </c>
    </row>
    <row r="52" spans="1:3" x14ac:dyDescent="0.3">
      <c r="B52" t="s">
        <v>694</v>
      </c>
      <c r="C52" t="str">
        <f>IF(B47=3,IF(SETUPSECPG!B32 = BLPLUSEX!I94," NAVY BL"," HOLING BL"),C48)</f>
        <v/>
      </c>
    </row>
    <row r="53" spans="1:3" x14ac:dyDescent="0.3">
      <c r="B53" t="s">
        <v>722</v>
      </c>
      <c r="C53" t="str">
        <f>IF(B47=3,IF(SETUPSECPG!B32 = BLPLUSEX!I94,"",IF(C18 = 3," (DUE TO CURVED PLATE) (SEE BELOW)","")),"")</f>
        <v/>
      </c>
    </row>
    <row r="54" spans="1:3" x14ac:dyDescent="0.3">
      <c r="B54" t="s">
        <v>710</v>
      </c>
      <c r="C54" t="str">
        <f>IF(B47=3,IF(SETUPSECPG!B32 = BLPLUSEX!I94,"",IF(C18 = 3,"SPECIAL CURVED-PLATE RULE FOR BODY DAMAGE:",C34)),C34)</f>
        <v/>
      </c>
    </row>
    <row r="55" spans="1:3" x14ac:dyDescent="0.3">
      <c r="B55" t="s">
        <v>711</v>
      </c>
      <c r="C55" t="str">
        <f>IF(B47=3,IF(SETUPSECPG!B32 = BLPLUSEX!I94,"",IF(C18 = 3," Strong steel projectiles frequently remain effective against curved plates at",C35)),C35)</f>
        <v/>
      </c>
    </row>
    <row r="56" spans="1:3" x14ac:dyDescent="0.3">
      <c r="B56" t="s">
        <v>712</v>
      </c>
      <c r="C56" t="str">
        <f>IF(B47=3,IF(SETUPSECPG!B32 = BLPLUSEX!I94,"",IF(C18 = 3,"Complete shatter of this projectile against this armor will occur otherwise.",C36)),C36)</f>
        <v/>
      </c>
    </row>
    <row r="57" spans="1:3" x14ac:dyDescent="0.3">
      <c r="B57" t="s">
        <v>717</v>
      </c>
      <c r="C57" t="str" cm="1">
        <f t="array" ref="C57">IF(B47=3,IF(SETUPSECPG!B32 = BLPLUSEX!I94,"",IF(C18 = 3,_xlfn.IFS('main calculation sheet'!B57 = 1," Complete shatter of this projectile will occur otherwise.",AND('Projectile Data'!AW4 = 1,'Ins&amp;Outs'!B30 &gt;= CALCBL!B27,'Projectile Data'!AX4 = 0)," Complete breakup of this projectile will occur otherwise.",1=1,IF(SETUPSECPG!B32 = BLPLUSEX!K94," Other effects keep projectile effective above Navy BL.","")),C27)),C27)</f>
        <v/>
      </c>
    </row>
    <row r="58" spans="1:3" x14ac:dyDescent="0.3">
      <c r="B58" t="s">
        <v>696</v>
      </c>
      <c r="C58">
        <f>IF(B47=3,IF(SETUPSECPG!B32 = BLPLUSEX!I94,C45,IF(C18 = 3,1,C45)),C45)</f>
        <v>0</v>
      </c>
    </row>
    <row r="60" spans="1:3" x14ac:dyDescent="0.3">
      <c r="A60" t="s">
        <v>723</v>
      </c>
      <c r="B60" t="b">
        <f>IF(AND(C49=0,C50=1),TRUE,FALSE)</f>
        <v>0</v>
      </c>
    </row>
    <row r="61" spans="1:3" x14ac:dyDescent="0.3">
      <c r="B61" t="s">
        <v>722</v>
      </c>
      <c r="C61" t="str">
        <f>IF(AND(B60=TRUE,C58=0)," (NOSE DAMAGE REACHES CAVITY)",C53)</f>
        <v/>
      </c>
    </row>
    <row r="63" spans="1:3" x14ac:dyDescent="0.3">
      <c r="A63" t="s">
        <v>710</v>
      </c>
      <c r="B63" t="str">
        <f>IF(AND(C58=0,C18=1),IF('main calculation sheet'!B28 = 1,"SPECIAL SOFT CAP &amp; EXTRA-TOUGH PLATE NOSE-ONLY SHATTER RULE:","SPECIAL HOOD &amp; NOT-EXTRA-TOUGH PLATE NOSE-ONLY SHATTER RULE:"),C54)</f>
        <v/>
      </c>
    </row>
    <row r="64" spans="1:3" x14ac:dyDescent="0.3">
      <c r="A64" t="s">
        <v>711</v>
      </c>
      <c r="B64" t="str">
        <f>IF(AND(C58=0,C18=1),"Nose-only shatter if Complete Penetration @ OB&lt;=15deg, sometimes if 15&lt;OB&lt;20deg.",C55)</f>
        <v/>
      </c>
    </row>
    <row r="65" spans="1:2" x14ac:dyDescent="0.3">
      <c r="A65" t="s">
        <v>712</v>
      </c>
      <c r="B65" t="str">
        <f>IF(AND(C58=0,C18=1),"Complete shatter of this projectile against this armor will occur otherwise.",C56)</f>
        <v/>
      </c>
    </row>
  </sheetData>
  <sheetProtection algorithmName="SHA-512" hashValue="ykdzTmQPVYzEY4uYm0xzIaoK8tfMOPLI5y+2dvcck59CA1Vm2lT9beCQacFrOaVHx+9shZWxbXjPLlACxqvgaQ==" saltValue="17f0FByy9qsEShIC5nk58w=="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1F6A-2633-4032-9D48-6A7394F21CEA}">
  <sheetPr codeName="Sheet40"/>
  <dimension ref="A1:H71"/>
  <sheetViews>
    <sheetView workbookViewId="0">
      <selection activeCell="E43" sqref="E43"/>
    </sheetView>
  </sheetViews>
  <sheetFormatPr defaultRowHeight="14.4" x14ac:dyDescent="0.3"/>
  <cols>
    <col min="1" max="1" width="14.5546875" customWidth="1"/>
  </cols>
  <sheetData>
    <row r="1" spans="1:8" x14ac:dyDescent="0.3">
      <c r="A1" t="s">
        <v>831</v>
      </c>
    </row>
    <row r="3" spans="1:8" x14ac:dyDescent="0.3">
      <c r="A3" t="s">
        <v>391</v>
      </c>
      <c r="B3" s="1" t="s">
        <v>425</v>
      </c>
      <c r="H3" t="s">
        <v>392</v>
      </c>
    </row>
    <row r="5" spans="1:8" x14ac:dyDescent="0.3">
      <c r="A5" t="s">
        <v>393</v>
      </c>
      <c r="C5" s="1" t="s">
        <v>402</v>
      </c>
      <c r="H5" t="s">
        <v>401</v>
      </c>
    </row>
    <row r="6" spans="1:8" x14ac:dyDescent="0.3">
      <c r="A6" t="s">
        <v>394</v>
      </c>
      <c r="C6" s="1" t="s">
        <v>403</v>
      </c>
    </row>
    <row r="7" spans="1:8" x14ac:dyDescent="0.3">
      <c r="A7" t="s">
        <v>395</v>
      </c>
      <c r="C7" s="1" t="s">
        <v>404</v>
      </c>
    </row>
    <row r="8" spans="1:8" x14ac:dyDescent="0.3">
      <c r="A8" t="s">
        <v>396</v>
      </c>
      <c r="C8" s="1" t="s">
        <v>405</v>
      </c>
    </row>
    <row r="9" spans="1:8" x14ac:dyDescent="0.3">
      <c r="A9" t="s">
        <v>397</v>
      </c>
      <c r="C9" s="1" t="s">
        <v>406</v>
      </c>
    </row>
    <row r="10" spans="1:8" x14ac:dyDescent="0.3">
      <c r="A10" t="s">
        <v>398</v>
      </c>
      <c r="C10" s="1" t="s">
        <v>407</v>
      </c>
    </row>
    <row r="11" spans="1:8" x14ac:dyDescent="0.3">
      <c r="A11" t="s">
        <v>399</v>
      </c>
      <c r="C11" s="1" t="s">
        <v>408</v>
      </c>
    </row>
    <row r="12" spans="1:8" x14ac:dyDescent="0.3">
      <c r="A12" t="s">
        <v>400</v>
      </c>
      <c r="C12" s="1" t="s">
        <v>409</v>
      </c>
    </row>
    <row r="14" spans="1:8" x14ac:dyDescent="0.3">
      <c r="A14" t="s">
        <v>411</v>
      </c>
      <c r="B14">
        <f>'Ins&amp;Outs'!F6 * 'Armor Data'!AI4</f>
        <v>0.877</v>
      </c>
      <c r="H14" t="s">
        <v>410</v>
      </c>
    </row>
    <row r="15" spans="1:8" x14ac:dyDescent="0.3">
      <c r="A15" t="s">
        <v>277</v>
      </c>
      <c r="B15">
        <f>'Ins&amp;Outs'!F6 * 'Armor Data'!AJ4</f>
        <v>0.877</v>
      </c>
    </row>
    <row r="17" spans="1:8" x14ac:dyDescent="0.3">
      <c r="A17" t="s">
        <v>413</v>
      </c>
      <c r="B17">
        <f>'Ins&amp;Outs'!$F$9/100</f>
        <v>0</v>
      </c>
      <c r="H17" t="s">
        <v>412</v>
      </c>
    </row>
    <row r="18" spans="1:8" x14ac:dyDescent="0.3">
      <c r="A18" t="s">
        <v>414</v>
      </c>
      <c r="B18">
        <f>'Ins&amp;Outs'!$F$12/25</f>
        <v>0</v>
      </c>
    </row>
    <row r="19" spans="1:8" x14ac:dyDescent="0.3">
      <c r="A19" t="s">
        <v>415</v>
      </c>
      <c r="B19">
        <f>'Ins&amp;Outs'!$F$15</f>
        <v>0</v>
      </c>
    </row>
    <row r="21" spans="1:8" x14ac:dyDescent="0.3">
      <c r="A21" t="s">
        <v>417</v>
      </c>
      <c r="B21">
        <f>0.5 * (B23 * (B19 * B24 / B23)^1.4)^0.714286</f>
        <v>0</v>
      </c>
      <c r="H21" t="s">
        <v>416</v>
      </c>
    </row>
    <row r="22" spans="1:8" x14ac:dyDescent="0.3">
      <c r="A22" t="s">
        <v>418</v>
      </c>
      <c r="B22">
        <f t="array" ref="B22">_xlfn.IFS('Ins&amp;Outs'!F18 = 'generic tables'!B21,1,'Ins&amp;Outs'!F18 = 'generic tables'!B22,2,'Ins&amp;Outs'!F18 = 'generic tables'!B23,3,'Ins&amp;Outs'!F18 = 'generic tables'!B24,4,'Ins&amp;Outs'!F18 = 'generic tables'!B25,5,1=1,5)</f>
        <v>5</v>
      </c>
    </row>
    <row r="23" spans="1:8" x14ac:dyDescent="0.3">
      <c r="A23" t="s">
        <v>419</v>
      </c>
      <c r="B23">
        <f>'Ins&amp;Outs'!F21</f>
        <v>1</v>
      </c>
    </row>
    <row r="24" spans="1:8" x14ac:dyDescent="0.3">
      <c r="A24" t="s">
        <v>420</v>
      </c>
      <c r="B24">
        <f>VLOOKUP('Ins&amp;Outs'!F18,'generic tables'!B21:C25,2,FALSE)</f>
        <v>1</v>
      </c>
    </row>
    <row r="26" spans="1:8" x14ac:dyDescent="0.3">
      <c r="A26" t="s">
        <v>427</v>
      </c>
      <c r="B26">
        <f>B14+B17+B18+B21</f>
        <v>0.877</v>
      </c>
      <c r="H26" t="s">
        <v>426</v>
      </c>
    </row>
    <row r="28" spans="1:8" x14ac:dyDescent="0.3">
      <c r="A28" t="s">
        <v>428</v>
      </c>
      <c r="B28">
        <f>IF('Ins&amp;Outs'!B12 = 0,0,'Projectile Data'!AR4)</f>
        <v>2</v>
      </c>
    </row>
    <row r="29" spans="1:8" x14ac:dyDescent="0.3">
      <c r="A29" t="s">
        <v>429</v>
      </c>
      <c r="B29">
        <f>IF('Ins&amp;Outs'!B12 = 0,1,0)</f>
        <v>0</v>
      </c>
    </row>
    <row r="31" spans="1:8" x14ac:dyDescent="0.3">
      <c r="A31" t="s">
        <v>431</v>
      </c>
      <c r="B31">
        <f>IF(B32 &lt; THINSELECT!B3,80,75)</f>
        <v>80</v>
      </c>
      <c r="H31" t="s">
        <v>430</v>
      </c>
    </row>
    <row r="32" spans="1:8" x14ac:dyDescent="0.3">
      <c r="A32" t="s">
        <v>432</v>
      </c>
      <c r="B32">
        <f>B14/'Ins&amp;Outs'!B6</f>
        <v>5.8466666666666667E-2</v>
      </c>
    </row>
    <row r="34" spans="1:8" x14ac:dyDescent="0.3">
      <c r="A34" t="s">
        <v>433</v>
      </c>
      <c r="B34">
        <f>'Ins&amp;Outs'!B30/57.29578</f>
        <v>1.34739417108904</v>
      </c>
    </row>
    <row r="36" spans="1:8" x14ac:dyDescent="0.3">
      <c r="A36" t="s">
        <v>435</v>
      </c>
      <c r="B36">
        <f>IF(AND(GETPROJDWTWB!B4 = 2,B29 = 1),IF('Ins&amp;Outs'!B30 &gt;=45,0.045 * (COS(2*('Ins&amp;Outs'!B30-45)/57.29578))^2,0.045),0)</f>
        <v>0</v>
      </c>
      <c r="H36" t="s">
        <v>434</v>
      </c>
    </row>
    <row r="38" spans="1:8" x14ac:dyDescent="0.3">
      <c r="A38" t="s">
        <v>436</v>
      </c>
      <c r="B38" s="1">
        <f>IF(((B15/'Ins&amp;Outs'!B6)/COS(RADIANS('Ins&amp;Outs'!B30)))&lt;0.25,1,0)</f>
        <v>0</v>
      </c>
      <c r="H38" t="s">
        <v>437</v>
      </c>
    </row>
    <row r="39" spans="1:8" x14ac:dyDescent="0.3">
      <c r="A39" t="s">
        <v>438</v>
      </c>
      <c r="B39">
        <f>_xlfn.IFS(AND(B38=1,OR('Projectile Data'!AQ4 &lt;&gt; 2,AND('Projectile Data'!AQ4=2,B28=1,'Ins&amp;Outs'!B30 &lt; 20))),IF('Armor Data'!AM4 = 1,2,1),AND('Projectile Data'!AQ4 &lt;&gt; 2,OR('Ins&amp;Outs'!F30 = 'Armor Data'!V5,'Ins&amp;Outs'!F30 = 'Armor Data'!V6)),IF(OR('Projectile Data'!AP4 &lt; 2,'Projectile Data'!AW4 = 2),1,0),'Armor Data'!AM4 = 1,IF('Projectile Data'!AQ4 = 2,1,2),1=1,0)</f>
        <v>0</v>
      </c>
    </row>
    <row r="40" spans="1:8" x14ac:dyDescent="0.3">
      <c r="A40" t="s">
        <v>439</v>
      </c>
      <c r="B40">
        <f>_xlfn.IFS(AND(B38=1,OR('Projectile Data'!AQ4 &lt;&gt; 2,AND('Projectile Data'!AQ4=2,B28=1,'Ins&amp;Outs'!B30 &lt; 20))),IF('Armor Data'!AM4 = 1,0,1),AND('Projectile Data'!AQ4 &lt;&gt; 2,OR('Ins&amp;Outs'!F30 = 'Armor Data'!V5,'Ins&amp;Outs'!F30 = 'Armor Data'!V6)),IF(OR('Projectile Data'!AP4 &lt; 2,'Projectile Data'!AW4 = 2),2,0),'Armor Data'!AM4 = 1,IF('Projectile Data'!AQ4 = 2,0,3),1=1,0)</f>
        <v>0</v>
      </c>
    </row>
    <row r="42" spans="1:8" x14ac:dyDescent="0.3">
      <c r="A42" t="s">
        <v>440</v>
      </c>
      <c r="B42">
        <f>_xlfn.IFS(AND(B38=1,OR('Projectile Data'!AQ4 &lt;&gt; 2,AND('Projectile Data'!AQ4=2,B28=1,'Ins&amp;Outs'!B30 &lt; 20))),0,AND('Projectile Data'!AQ4 &lt;&gt; 2,OR('Ins&amp;Outs'!F30 = 'Armor Data'!V5,'Ins&amp;Outs'!F30 = 'Armor Data'!V6)),0,'Armor Data'!AM4 = 1,IF('Projectile Data'!AQ4 = 2,IF(B28 = 0,1,0),0),1=1,0)</f>
        <v>0</v>
      </c>
    </row>
    <row r="43" spans="1:8" x14ac:dyDescent="0.3">
      <c r="A43" t="s">
        <v>441</v>
      </c>
      <c r="B43">
        <f>_xlfn.IFS(AND(B38=1,OR('Projectile Data'!AQ4 &lt;&gt; 2,AND('Projectile Data'!AQ4=2,B28=1,'Ins&amp;Outs'!B30 &lt; 20))),'Armor Data'!AL4,AND('Projectile Data'!AQ4 &lt;&gt; 2,OR('Ins&amp;Outs'!F30 = 'Armor Data'!V5,'Ins&amp;Outs'!F30 = 'Armor Data'!V6)),'Armor Data'!AL4,'Armor Data'!AM4 = 1,IF('Projectile Data'!AQ4 = 2,IF(B28 = 0,0,'Armor Data'!AL4),'Armor Data'!AL4),1=1,'Armor Data'!AL4)</f>
        <v>0</v>
      </c>
    </row>
    <row r="45" spans="1:8" x14ac:dyDescent="0.3">
      <c r="A45" t="s">
        <v>442</v>
      </c>
    </row>
    <row r="46" spans="1:8" x14ac:dyDescent="0.3">
      <c r="A46" t="s">
        <v>443</v>
      </c>
    </row>
    <row r="49" spans="1:8" x14ac:dyDescent="0.3">
      <c r="H49" t="s">
        <v>444</v>
      </c>
    </row>
    <row r="50" spans="1:8" x14ac:dyDescent="0.3">
      <c r="A50" t="s">
        <v>446</v>
      </c>
      <c r="B50">
        <f>IF((B15/'Ins&amp;Outs'!B6) &gt;= 0.67,1,0)</f>
        <v>0</v>
      </c>
      <c r="H50" t="s">
        <v>445</v>
      </c>
    </row>
    <row r="51" spans="1:8" x14ac:dyDescent="0.3">
      <c r="A51" t="s">
        <v>440</v>
      </c>
      <c r="B51">
        <f>_xlfn.IFS(OR(B28=0,B28=-1),1,B28=1,IF(OR('Ins&amp;Outs'!B30 &gt; 20,'Armor Data'!AN4 = 1),1,B42),B28=3,IF(AND('Armor Data'!AN4 = 1,B50=1,'Ins&amp;Outs'!B30 &gt; 30),1,B42),AND(GETPROJDWTWB!B4 = 1,B28=2),1,1=1,B42)</f>
        <v>0</v>
      </c>
    </row>
    <row r="53" spans="1:8" x14ac:dyDescent="0.3">
      <c r="A53" t="s">
        <v>448</v>
      </c>
      <c r="B53">
        <f>IF(B51=1,_xlfn.IFS(AND(B28=1,OR(AND('Armor Data'!AN4 = 2,'Projectile Data'!AX4 &lt; 2),'Armor Data'!AN4 = 1),'Ins&amp;Outs'!B30 &lt;=20),1,AND(B28=1,'Armor Data'!AN4 = 0,'Projectile Data'!AQ4 &lt; 2,'Ins&amp;Outs'!B30 &lt;=20),4,1=1,0),0)</f>
        <v>0</v>
      </c>
      <c r="H53" t="s">
        <v>447</v>
      </c>
    </row>
    <row r="55" spans="1:8" x14ac:dyDescent="0.3">
      <c r="H55" t="s">
        <v>449</v>
      </c>
    </row>
    <row r="56" spans="1:8" x14ac:dyDescent="0.3">
      <c r="A56" t="s">
        <v>452</v>
      </c>
      <c r="B56">
        <f>IF(AND('Ins&amp;Outs'!B30&gt;15,'Ins&amp;Outs'!B30&lt;=20,ABS(B28)=1),IF(B40&lt;&gt;0,0,B40),B40)</f>
        <v>0</v>
      </c>
      <c r="H56" t="s">
        <v>450</v>
      </c>
    </row>
    <row r="57" spans="1:8" x14ac:dyDescent="0.3">
      <c r="A57" t="s">
        <v>440</v>
      </c>
      <c r="B57">
        <f>IF(B38=1,0,IF(AND('Ins&amp;Outs'!B30&gt;15,'Ins&amp;Outs'!B30&lt;=20,ABS(B28)=1),IF('Ins&amp;Outs'!B33 = 'generic tables'!B2,B51,1),B51))</f>
        <v>0</v>
      </c>
    </row>
    <row r="58" spans="1:8" x14ac:dyDescent="0.3">
      <c r="A58" t="s">
        <v>441</v>
      </c>
      <c r="B58">
        <f>IF(AND('Ins&amp;Outs'!B30&gt;15,'Ins&amp;Outs'!B30&lt;=20,ABS(B28)=1),IF('Ins&amp;Outs'!B33 = 'generic tables'!B2,B43,0),B43)</f>
        <v>0</v>
      </c>
    </row>
    <row r="59" spans="1:8" x14ac:dyDescent="0.3">
      <c r="A59" t="s">
        <v>448</v>
      </c>
      <c r="B59">
        <f>IF(AND('Ins&amp;Outs'!B30&gt;15,'Ins&amp;Outs'!B30&lt;=20,ABS(B28)=1),IF('Ins&amp;Outs'!B33 = 'generic tables'!B2,B53,0),B53)</f>
        <v>0</v>
      </c>
    </row>
    <row r="61" spans="1:8" x14ac:dyDescent="0.3">
      <c r="A61" t="s">
        <v>455</v>
      </c>
      <c r="B61">
        <f>IF(AND(B57=1,B59=0),IF(AND('Projectile Data'!AT4 &gt; 0,'Ins&amp;Outs'!B30 &lt;= 15),1170,0),0)</f>
        <v>0</v>
      </c>
      <c r="H61" t="s">
        <v>453</v>
      </c>
    </row>
    <row r="62" spans="1:8" x14ac:dyDescent="0.3">
      <c r="A62" t="s">
        <v>454</v>
      </c>
      <c r="B62">
        <f>IF(AND(B57=1,B59=0),1+(SQRT('Projectile Data'!AT4 / 20)*B61)*COS(RADIANS('Ins&amp;Outs'!B30)),1)</f>
        <v>1</v>
      </c>
    </row>
    <row r="63" spans="1:8" x14ac:dyDescent="0.3">
      <c r="A63" t="s">
        <v>448</v>
      </c>
      <c r="B63">
        <f>IF(AND(B57=1,B59=0),IF('Ins&amp;Outs'!B27 &lt; B62,2,B59),B59)</f>
        <v>0</v>
      </c>
    </row>
    <row r="65" spans="1:8" x14ac:dyDescent="0.3">
      <c r="H65" t="s">
        <v>456</v>
      </c>
    </row>
    <row r="66" spans="1:8" x14ac:dyDescent="0.3">
      <c r="A66" t="s">
        <v>441</v>
      </c>
      <c r="B66">
        <f>IF(B39 = 1,IF(B42=1,0,'Armor Data'!AL4),IF(B57=1,0,'Armor Data'!AL4))</f>
        <v>0</v>
      </c>
      <c r="H66" t="s">
        <v>457</v>
      </c>
    </row>
    <row r="67" spans="1:8" x14ac:dyDescent="0.3">
      <c r="A67" t="s">
        <v>458</v>
      </c>
      <c r="B67">
        <f>IF(AND(B42,'Ins&amp;Outs'!B30 &gt; 70),1,0)</f>
        <v>0</v>
      </c>
    </row>
    <row r="70" spans="1:8" x14ac:dyDescent="0.3">
      <c r="H70" t="s">
        <v>459</v>
      </c>
    </row>
    <row r="71" spans="1:8" x14ac:dyDescent="0.3">
      <c r="H71" t="s">
        <v>501</v>
      </c>
    </row>
  </sheetData>
  <sheetProtection algorithmName="SHA-512" hashValue="TZxHz0vznqL6u0J51l6KcjPrSf5qRY1m13opNmwbncEsvL9JM5tQQ0eHou2ETGhxyopxde+WMUHU/x3RKmlejQ==" saltValue="zrpQeahEDUDi4ZTFEqT2P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552D-F5E2-41CC-976F-405A739E1EA5}">
  <sheetPr codeName="Sheet5"/>
  <dimension ref="A1:AP90"/>
  <sheetViews>
    <sheetView workbookViewId="0">
      <selection activeCell="E43" sqref="E43"/>
    </sheetView>
  </sheetViews>
  <sheetFormatPr defaultRowHeight="14.4" x14ac:dyDescent="0.3"/>
  <cols>
    <col min="3" max="3" width="9.109375" customWidth="1"/>
    <col min="6" max="6" width="10" bestFit="1" customWidth="1"/>
  </cols>
  <sheetData>
    <row r="1" spans="1:42" x14ac:dyDescent="0.3">
      <c r="A1" t="s">
        <v>831</v>
      </c>
    </row>
    <row r="2" spans="1:42" x14ac:dyDescent="0.3">
      <c r="B2" t="s">
        <v>225</v>
      </c>
      <c r="D2" t="s">
        <v>179</v>
      </c>
      <c r="AI2">
        <v>2</v>
      </c>
      <c r="AJ2">
        <v>3</v>
      </c>
      <c r="AK2">
        <v>4</v>
      </c>
      <c r="AL2">
        <v>5</v>
      </c>
      <c r="AM2">
        <v>6</v>
      </c>
      <c r="AN2">
        <v>7</v>
      </c>
      <c r="AO2">
        <v>8</v>
      </c>
      <c r="AP2">
        <v>9</v>
      </c>
    </row>
    <row r="3" spans="1:42" x14ac:dyDescent="0.3">
      <c r="B3" t="s">
        <v>226</v>
      </c>
      <c r="D3" t="s">
        <v>187</v>
      </c>
      <c r="V3" t="str" cm="1">
        <f t="array" ref="V3:V12">_xlfn.IFS('Ins&amp;Outs'!F27="US",B14:B23,'Ins&amp;Outs'!F27="British",B26:B33,'Ins&amp;Outs'!F27="German",B36:B45,'Ins&amp;Outs'!F27="French",B48:B55,'Ins&amp;Outs'!F27="Italian",B58:B64,'Ins&amp;Outs'!F27="Japanese",B67:B73,'Ins&amp;Outs'!F27="Austro-Hungarian",B76:B80,'Ins&amp;Outs'!F27="Russian",B83:B90)</f>
        <v>GRUSON CHILLED CAST IRON DOMES (VARIABLE FACE THICKNESS)</v>
      </c>
      <c r="AI3" t="s">
        <v>150</v>
      </c>
      <c r="AJ3" t="s">
        <v>151</v>
      </c>
      <c r="AK3" t="s">
        <v>152</v>
      </c>
      <c r="AL3" t="s">
        <v>153</v>
      </c>
      <c r="AM3" t="s">
        <v>154</v>
      </c>
      <c r="AN3" t="s">
        <v>155</v>
      </c>
      <c r="AO3" t="s">
        <v>156</v>
      </c>
      <c r="AP3" t="s">
        <v>157</v>
      </c>
    </row>
    <row r="4" spans="1:42" x14ac:dyDescent="0.3">
      <c r="B4" t="s">
        <v>227</v>
      </c>
      <c r="D4" t="s">
        <v>201</v>
      </c>
      <c r="V4" t="str">
        <v>COMPOUND (67-75% WROUGHT IRON W/CIRCA 450 BRINELL STEEL FACE)</v>
      </c>
      <c r="AI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2, FALSE)</f>
        <v>0.877</v>
      </c>
      <c r="AJ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3, FALSE)</f>
        <v>0.877</v>
      </c>
      <c r="AK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4, FALSE)</f>
        <v>65</v>
      </c>
      <c r="AL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5, FALSE)</f>
        <v>0</v>
      </c>
      <c r="AM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6, FALSE)</f>
        <v>0</v>
      </c>
      <c r="AN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7, FALSE)</f>
        <v>0</v>
      </c>
      <c r="AO4">
        <f>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 8, FALSE)</f>
        <v>0</v>
      </c>
      <c r="AP4">
        <f>IF(OR('Ins&amp;Outs'!F30='Armor Data'!V3,'Ins&amp;Outs'!F30='Armor Data'!V5,'Ins&amp;Outs'!F30='Armor Data'!V6,'Ins&amp;Outs'!F30="ITALIAN POST-1930 TERNI CEMENTED (VARIABLE FACE THICKNESS = BEST THICK KC-TYPE &amp; NEAR-BEST THIN KC-TYPE)"),IF(FACECALC!B2&gt;75,1,0),VLOOKUP('Ins&amp;Outs'!F30,_xlfn.IFS('Ins&amp;Outs'!F27="US",'Armor Data'!B14:J23,'Ins&amp;Outs'!F27="British",'Armor Data'!B26:J33,'Ins&amp;Outs'!F27="German",'Armor Data'!B36:J45,'Ins&amp;Outs'!F27="French",'Armor Data'!B48:J55,'Ins&amp;Outs'!F27="Italian",'Armor Data'!B58:J64,'Ins&amp;Outs'!F27="Japanese",'Armor Data'!B67:J73,'Ins&amp;Outs'!F27="Austro-Hungarian",'Armor Data'!B76:J80,'Ins&amp;Outs'!F27="Russian",'Armor Data'!B83:J90),9,FALSE))</f>
        <v>0</v>
      </c>
    </row>
    <row r="5" spans="1:42" x14ac:dyDescent="0.3">
      <c r="B5" t="s">
        <v>228</v>
      </c>
      <c r="D5" t="s">
        <v>209</v>
      </c>
      <c r="V5" t="str">
        <v>HARVEY MILD STEEL (1-1.5-INCH HIGH-CARBON 600-700 BRINELL 'CEMENTED' FACE -- USING 1.25-INCH FACE HERE -- REST OF PLATE SOFT)</v>
      </c>
    </row>
    <row r="6" spans="1:42" x14ac:dyDescent="0.3">
      <c r="B6" t="s">
        <v>229</v>
      </c>
      <c r="D6" t="s">
        <v>214</v>
      </c>
      <c r="V6" t="str">
        <v>HARVEY NI-STEEL (STRONGER STEEL; SAME FACE)</v>
      </c>
    </row>
    <row r="7" spans="1:42" x14ac:dyDescent="0.3">
      <c r="B7" t="s">
        <v>230</v>
      </c>
      <c r="D7" t="s">
        <v>218</v>
      </c>
      <c r="V7" t="str">
        <v>GERMAN 1892 KC a/A (ORIGINAL 35%-FACE KRUPP KC USING Ni-ONLY STEEL &lt;9" THICK ON A FEW SHIPS)</v>
      </c>
    </row>
    <row r="8" spans="1:42" x14ac:dyDescent="0.3">
      <c r="B8" t="s">
        <v>231</v>
      </c>
      <c r="D8" t="s">
        <v>222</v>
      </c>
      <c r="V8" t="str">
        <v>GERMAN 1894 KC a/A (ORIGINAL 35%-FACE KRUPP KC USING HOMOGENEOUS TEST PLATE #420 ("Q420") Cr-Ni STEEL; 1st MODERN ARMOR STEEL)</v>
      </c>
    </row>
    <row r="9" spans="1:42" x14ac:dyDescent="0.3">
      <c r="B9" t="s">
        <v>232</v>
      </c>
      <c r="D9" t="s">
        <v>224</v>
      </c>
      <c r="V9" t="str">
        <v>IMPROVED 1906 DREADNOUGHT-TYPE GERMAN KC a/A (TOUGH BACK LAYER, BUT TEMPERED FACE STILL TOO BRITTLE FOR BEST RESULTS) (OSTFRIESLAND PLATES)</v>
      </c>
    </row>
    <row r="10" spans="1:42" x14ac:dyDescent="0.3">
      <c r="V10" t="str">
        <v>FINAL VERSION OF GERMAN KC a/A (BADEN PLATES)</v>
      </c>
    </row>
    <row r="11" spans="1:42" x14ac:dyDescent="0.3">
      <c r="V11" t="str">
        <v>GERMAN KC n/A (IMPROVED 1928 VERSION KRUPP KC FOR 'POCKET BATTLESHIP' TURRETS) (MEDIUM--41%--FACE THICKNESS &amp; HIGHEST FACE HARDNESS)</v>
      </c>
    </row>
    <row r="12" spans="1:42" x14ac:dyDescent="0.3">
      <c r="C12" t="s">
        <v>150</v>
      </c>
      <c r="D12" t="s">
        <v>151</v>
      </c>
      <c r="E12" t="s">
        <v>152</v>
      </c>
      <c r="F12" t="s">
        <v>153</v>
      </c>
      <c r="G12" t="s">
        <v>154</v>
      </c>
      <c r="H12" t="s">
        <v>155</v>
      </c>
      <c r="I12" t="s">
        <v>156</v>
      </c>
      <c r="J12" t="s">
        <v>157</v>
      </c>
      <c r="V12" t="str">
        <v>GERMAN KC n/A (FINAL FURTHER-IMPROVED THICK-PLATE VERSION OF GERMAN KC n/A FOR SCHARNHORST &amp; BISMARCK CL.) (NOW HAS 'SOFTSHAT=1' CAPABILITY)</v>
      </c>
    </row>
    <row r="13" spans="1:42" x14ac:dyDescent="0.3">
      <c r="A13" t="s">
        <v>158</v>
      </c>
    </row>
    <row r="14" spans="1:42" x14ac:dyDescent="0.3">
      <c r="A14" t="s">
        <v>159</v>
      </c>
      <c r="B14" t="s">
        <v>167</v>
      </c>
      <c r="C14">
        <v>0.61699999999999999</v>
      </c>
      <c r="D14">
        <v>0.61699999999999999</v>
      </c>
      <c r="E14">
        <f>FACECALC!B2</f>
        <v>0</v>
      </c>
      <c r="F14">
        <v>1</v>
      </c>
      <c r="G14">
        <v>0</v>
      </c>
      <c r="H14">
        <v>0</v>
      </c>
      <c r="I14">
        <v>0</v>
      </c>
      <c r="J14">
        <v>0</v>
      </c>
    </row>
    <row r="15" spans="1:42" x14ac:dyDescent="0.3">
      <c r="A15" t="s">
        <v>160</v>
      </c>
      <c r="B15" t="s">
        <v>168</v>
      </c>
      <c r="C15">
        <v>0.57499999999999996</v>
      </c>
      <c r="D15">
        <v>0.45</v>
      </c>
      <c r="E15">
        <v>70</v>
      </c>
      <c r="F15">
        <v>0</v>
      </c>
      <c r="G15">
        <v>1</v>
      </c>
      <c r="H15">
        <v>0</v>
      </c>
      <c r="I15">
        <v>0</v>
      </c>
      <c r="J15">
        <v>0</v>
      </c>
    </row>
    <row r="16" spans="1:42" x14ac:dyDescent="0.3">
      <c r="A16" t="s">
        <v>161</v>
      </c>
      <c r="B16" t="s">
        <v>169</v>
      </c>
      <c r="C16" s="1">
        <f>0.702*0.982*(IF('Ins&amp;Outs'!F6 &lt; 8,
    (MIN('Ins&amp;Outs'!F6, 20) * -0.035 + 1.28) * (MIN('Ins&amp;Outs'!F6, 20) * -0.027917 + 1.2525),
    (MIN('Ins&amp;Outs'!F6, 20) * -0.027917 + 1.2525)))^(1/1.21)</f>
        <v>0.97682889726012068</v>
      </c>
      <c r="D16">
        <v>0.86399999999999999</v>
      </c>
      <c r="E16">
        <f>FACECALC!B2</f>
        <v>0</v>
      </c>
      <c r="F16">
        <v>0</v>
      </c>
      <c r="G16">
        <v>0</v>
      </c>
      <c r="H16">
        <v>0</v>
      </c>
      <c r="I16">
        <v>0</v>
      </c>
      <c r="J16" s="1">
        <f>IF(E16&gt;75,1,0)</f>
        <v>0</v>
      </c>
    </row>
    <row r="17" spans="1:10" x14ac:dyDescent="0.3">
      <c r="A17" t="s">
        <v>162</v>
      </c>
      <c r="B17" t="s">
        <v>170</v>
      </c>
      <c r="C17" s="1">
        <f>0.724*0.982*(IF('Ins&amp;Outs'!F6 &lt; 8,
    (MIN('Ins&amp;Outs'!F6, 20) * -0.035 + 1.28) * (MIN('Ins&amp;Outs'!F6, 20) * -0.027917 + 1.2525),
    (MIN('Ins&amp;Outs'!F6, 20) * -0.027917 + 1.2525)))^(1/1.21)</f>
        <v>1.007441768684227</v>
      </c>
      <c r="D17">
        <v>0.86399999999999999</v>
      </c>
      <c r="E17">
        <f>FACECALC!B2</f>
        <v>0</v>
      </c>
      <c r="F17">
        <v>0</v>
      </c>
      <c r="G17">
        <v>0</v>
      </c>
      <c r="H17">
        <v>0</v>
      </c>
      <c r="I17">
        <v>0</v>
      </c>
      <c r="J17" s="1">
        <f>IF(E17&gt;75,1,0)</f>
        <v>0</v>
      </c>
    </row>
    <row r="18" spans="1:10" x14ac:dyDescent="0.3">
      <c r="A18" t="s">
        <v>163</v>
      </c>
      <c r="B18" t="s">
        <v>171</v>
      </c>
      <c r="C18">
        <v>0.78700000000000003</v>
      </c>
      <c r="D18">
        <v>0.78700000000000003</v>
      </c>
      <c r="E18">
        <v>65</v>
      </c>
      <c r="F18">
        <v>2</v>
      </c>
      <c r="G18">
        <v>0</v>
      </c>
      <c r="H18">
        <v>0</v>
      </c>
      <c r="I18">
        <v>0</v>
      </c>
      <c r="J18">
        <v>0</v>
      </c>
    </row>
    <row r="19" spans="1:10" x14ac:dyDescent="0.3">
      <c r="A19" t="s">
        <v>173</v>
      </c>
      <c r="B19" t="s">
        <v>175</v>
      </c>
      <c r="C19">
        <v>0.88100000000000001</v>
      </c>
      <c r="D19">
        <v>0.88100000000000001</v>
      </c>
      <c r="E19">
        <v>18</v>
      </c>
      <c r="F19">
        <v>1</v>
      </c>
      <c r="G19">
        <v>0</v>
      </c>
      <c r="H19">
        <v>1</v>
      </c>
      <c r="I19">
        <v>0</v>
      </c>
      <c r="J19">
        <v>0</v>
      </c>
    </row>
    <row r="20" spans="1:10" x14ac:dyDescent="0.3">
      <c r="A20" t="s">
        <v>164</v>
      </c>
      <c r="B20" t="s">
        <v>172</v>
      </c>
      <c r="C20">
        <v>0.88900000000000001</v>
      </c>
      <c r="D20">
        <v>0.88900000000000001</v>
      </c>
      <c r="E20">
        <v>65</v>
      </c>
      <c r="F20">
        <v>0</v>
      </c>
      <c r="G20">
        <v>0</v>
      </c>
      <c r="H20">
        <v>0</v>
      </c>
      <c r="I20">
        <v>0</v>
      </c>
      <c r="J20">
        <v>0</v>
      </c>
    </row>
    <row r="21" spans="1:10" x14ac:dyDescent="0.3">
      <c r="A21" t="s">
        <v>174</v>
      </c>
      <c r="B21" t="s">
        <v>176</v>
      </c>
      <c r="C21">
        <v>0.88900000000000001</v>
      </c>
      <c r="D21">
        <v>0.85</v>
      </c>
      <c r="E21">
        <v>85</v>
      </c>
      <c r="F21">
        <v>0</v>
      </c>
      <c r="G21">
        <v>0</v>
      </c>
      <c r="H21">
        <v>0</v>
      </c>
      <c r="I21">
        <v>0</v>
      </c>
      <c r="J21">
        <v>1</v>
      </c>
    </row>
    <row r="22" spans="1:10" x14ac:dyDescent="0.3">
      <c r="A22" t="s">
        <v>165</v>
      </c>
      <c r="B22" t="s">
        <v>177</v>
      </c>
      <c r="C22">
        <v>1</v>
      </c>
      <c r="D22">
        <v>1</v>
      </c>
      <c r="E22">
        <v>45</v>
      </c>
      <c r="F22">
        <v>0</v>
      </c>
      <c r="G22">
        <v>0</v>
      </c>
      <c r="H22">
        <v>1</v>
      </c>
      <c r="I22">
        <v>1</v>
      </c>
      <c r="J22">
        <v>0</v>
      </c>
    </row>
    <row r="23" spans="1:10" x14ac:dyDescent="0.3">
      <c r="A23" t="s">
        <v>166</v>
      </c>
      <c r="B23" t="s">
        <v>178</v>
      </c>
      <c r="C23">
        <v>1.0249999999999999</v>
      </c>
      <c r="D23">
        <v>1.0249999999999999</v>
      </c>
      <c r="E23">
        <v>45</v>
      </c>
      <c r="F23">
        <v>0</v>
      </c>
      <c r="G23">
        <v>0</v>
      </c>
      <c r="H23">
        <v>1</v>
      </c>
      <c r="I23">
        <v>1</v>
      </c>
      <c r="J23">
        <v>0</v>
      </c>
    </row>
    <row r="25" spans="1:10" x14ac:dyDescent="0.3">
      <c r="A25" t="s">
        <v>180</v>
      </c>
    </row>
    <row r="26" spans="1:10" x14ac:dyDescent="0.3">
      <c r="A26" t="s">
        <v>159</v>
      </c>
      <c r="B26" t="s">
        <v>167</v>
      </c>
      <c r="C26">
        <v>0.61699999999999999</v>
      </c>
      <c r="D26">
        <v>0.61699999999999999</v>
      </c>
      <c r="E26">
        <f>FACECALC!B2</f>
        <v>0</v>
      </c>
      <c r="F26">
        <v>1</v>
      </c>
      <c r="G26">
        <v>0</v>
      </c>
      <c r="H26">
        <v>0</v>
      </c>
      <c r="I26">
        <v>0</v>
      </c>
      <c r="J26">
        <v>0</v>
      </c>
    </row>
    <row r="27" spans="1:10" x14ac:dyDescent="0.3">
      <c r="A27" t="s">
        <v>160</v>
      </c>
      <c r="B27" t="s">
        <v>168</v>
      </c>
      <c r="C27">
        <v>0.57499999999999996</v>
      </c>
      <c r="D27">
        <v>0.45</v>
      </c>
      <c r="E27">
        <v>70</v>
      </c>
      <c r="F27">
        <v>0</v>
      </c>
      <c r="G27">
        <v>1</v>
      </c>
      <c r="H27">
        <v>0</v>
      </c>
      <c r="I27">
        <v>0</v>
      </c>
      <c r="J27">
        <v>0</v>
      </c>
    </row>
    <row r="28" spans="1:10" x14ac:dyDescent="0.3">
      <c r="A28" t="s">
        <v>161</v>
      </c>
      <c r="B28" t="s">
        <v>169</v>
      </c>
      <c r="C28" s="1">
        <f>0.702*0.982*(IF('Ins&amp;Outs'!F6 &lt; 8,
    (MIN('Ins&amp;Outs'!F6, 20) * -0.035 + 1.28) * (MIN('Ins&amp;Outs'!F6, 20) * -0.027917 + 1.2525),
    (MIN('Ins&amp;Outs'!F6, 20) * -0.027917 + 1.2525)))^(1/1.21)</f>
        <v>0.97682889726012068</v>
      </c>
      <c r="D28">
        <v>0.86399999999999999</v>
      </c>
      <c r="E28">
        <f>FACECALC!B2</f>
        <v>0</v>
      </c>
      <c r="F28">
        <v>0</v>
      </c>
      <c r="G28">
        <v>0</v>
      </c>
      <c r="H28">
        <v>0</v>
      </c>
      <c r="I28">
        <v>0</v>
      </c>
      <c r="J28" s="1">
        <f>IF(E28&gt;75,1,0)</f>
        <v>0</v>
      </c>
    </row>
    <row r="29" spans="1:10" x14ac:dyDescent="0.3">
      <c r="A29" t="s">
        <v>162</v>
      </c>
      <c r="B29" t="s">
        <v>170</v>
      </c>
      <c r="C29" s="1">
        <f>0.724*0.982*(IF('Ins&amp;Outs'!F6 &lt; 8,
    (MIN('Ins&amp;Outs'!F6, 20) * -0.035 + 1.28) * (MIN('Ins&amp;Outs'!F6, 20) * -0.027917 + 1.2525),
    (MIN('Ins&amp;Outs'!F6, 20) * -0.027917 + 1.2525)))^(1/1.21)</f>
        <v>1.007441768684227</v>
      </c>
      <c r="D29">
        <v>0.86399999999999999</v>
      </c>
      <c r="E29">
        <f>FACECALC!B2</f>
        <v>0</v>
      </c>
      <c r="F29">
        <v>0</v>
      </c>
      <c r="G29">
        <v>0</v>
      </c>
      <c r="H29">
        <v>0</v>
      </c>
      <c r="I29">
        <v>0</v>
      </c>
      <c r="J29" s="1">
        <f>IF(E29&gt;75,1,0)</f>
        <v>0</v>
      </c>
    </row>
    <row r="30" spans="1:10" x14ac:dyDescent="0.3">
      <c r="A30" t="s">
        <v>163</v>
      </c>
      <c r="B30" t="s">
        <v>171</v>
      </c>
      <c r="C30">
        <v>0.78700000000000003</v>
      </c>
      <c r="D30">
        <v>0.78700000000000003</v>
      </c>
      <c r="E30">
        <v>65</v>
      </c>
      <c r="F30">
        <v>2</v>
      </c>
      <c r="G30">
        <v>0</v>
      </c>
      <c r="H30">
        <v>0</v>
      </c>
      <c r="I30">
        <v>0</v>
      </c>
      <c r="J30">
        <v>0</v>
      </c>
    </row>
    <row r="31" spans="1:10" x14ac:dyDescent="0.3">
      <c r="A31" t="s">
        <v>181</v>
      </c>
      <c r="B31" t="s">
        <v>184</v>
      </c>
      <c r="C31">
        <v>0.85</v>
      </c>
      <c r="D31">
        <v>0.85</v>
      </c>
      <c r="E31">
        <v>65</v>
      </c>
      <c r="F31">
        <v>0</v>
      </c>
      <c r="G31">
        <v>0</v>
      </c>
      <c r="H31">
        <v>2</v>
      </c>
      <c r="I31">
        <v>2</v>
      </c>
      <c r="J31">
        <v>0</v>
      </c>
    </row>
    <row r="32" spans="1:10" x14ac:dyDescent="0.3">
      <c r="A32" t="s">
        <v>182</v>
      </c>
      <c r="B32" t="s">
        <v>185</v>
      </c>
      <c r="C32">
        <v>0.9</v>
      </c>
      <c r="D32">
        <v>0.9</v>
      </c>
      <c r="E32">
        <v>65</v>
      </c>
      <c r="F32">
        <v>0</v>
      </c>
      <c r="G32">
        <v>0</v>
      </c>
      <c r="H32">
        <v>2</v>
      </c>
      <c r="I32">
        <v>2</v>
      </c>
      <c r="J32">
        <v>0</v>
      </c>
    </row>
    <row r="33" spans="1:10" x14ac:dyDescent="0.3">
      <c r="A33" t="s">
        <v>183</v>
      </c>
      <c r="B33" t="s">
        <v>186</v>
      </c>
      <c r="C33">
        <v>0.92800000000000005</v>
      </c>
      <c r="D33">
        <v>0.92800000000000005</v>
      </c>
      <c r="E33">
        <v>70</v>
      </c>
      <c r="F33">
        <v>0</v>
      </c>
      <c r="G33">
        <v>0</v>
      </c>
      <c r="H33">
        <v>1</v>
      </c>
      <c r="I33">
        <v>1</v>
      </c>
      <c r="J33">
        <v>0</v>
      </c>
    </row>
    <row r="35" spans="1:10" x14ac:dyDescent="0.3">
      <c r="A35" t="s">
        <v>188</v>
      </c>
    </row>
    <row r="36" spans="1:10" x14ac:dyDescent="0.3">
      <c r="A36" t="s">
        <v>159</v>
      </c>
      <c r="B36" t="s">
        <v>167</v>
      </c>
      <c r="C36">
        <v>0.61699999999999999</v>
      </c>
      <c r="D36">
        <v>0.61699999999999999</v>
      </c>
      <c r="E36">
        <f>FACECALC!B2</f>
        <v>0</v>
      </c>
      <c r="F36">
        <v>1</v>
      </c>
      <c r="G36">
        <v>0</v>
      </c>
      <c r="H36">
        <v>0</v>
      </c>
      <c r="I36">
        <v>0</v>
      </c>
      <c r="J36">
        <v>0</v>
      </c>
    </row>
    <row r="37" spans="1:10" x14ac:dyDescent="0.3">
      <c r="A37" t="s">
        <v>160</v>
      </c>
      <c r="B37" t="s">
        <v>168</v>
      </c>
      <c r="C37">
        <v>0.57499999999999996</v>
      </c>
      <c r="D37">
        <v>0.45</v>
      </c>
      <c r="E37">
        <v>70</v>
      </c>
      <c r="F37">
        <v>0</v>
      </c>
      <c r="G37">
        <v>1</v>
      </c>
      <c r="H37">
        <v>0</v>
      </c>
      <c r="I37">
        <v>0</v>
      </c>
      <c r="J37">
        <v>0</v>
      </c>
    </row>
    <row r="38" spans="1:10" x14ac:dyDescent="0.3">
      <c r="A38" t="s">
        <v>161</v>
      </c>
      <c r="B38" t="s">
        <v>169</v>
      </c>
      <c r="C38" s="1">
        <f>0.702*0.982*(IF('Ins&amp;Outs'!F6 &lt; 8,
    (MIN('Ins&amp;Outs'!F6, 20) * -0.035 + 1.28) * (MIN('Ins&amp;Outs'!F6, 20) * -0.027917 + 1.2525),
    (MIN('Ins&amp;Outs'!F6, 20) * -0.027917 + 1.2525)))^(1/1.21)</f>
        <v>0.97682889726012068</v>
      </c>
      <c r="D38">
        <v>0.86399999999999999</v>
      </c>
      <c r="E38">
        <f>FACECALC!B2</f>
        <v>0</v>
      </c>
      <c r="F38">
        <v>0</v>
      </c>
      <c r="G38">
        <v>0</v>
      </c>
      <c r="H38">
        <v>0</v>
      </c>
      <c r="I38">
        <v>0</v>
      </c>
      <c r="J38" s="1">
        <f>IF(E38&gt;75,1,0)</f>
        <v>0</v>
      </c>
    </row>
    <row r="39" spans="1:10" x14ac:dyDescent="0.3">
      <c r="A39" t="s">
        <v>162</v>
      </c>
      <c r="B39" t="s">
        <v>170</v>
      </c>
      <c r="C39" s="1">
        <f>0.724*0.982*(IF('Ins&amp;Outs'!F6 &lt; 8,
    (MIN('Ins&amp;Outs'!F6, 20) * -0.035 + 1.28) * (MIN('Ins&amp;Outs'!F6, 20) * -0.027917 + 1.2525),
    (MIN('Ins&amp;Outs'!F6, 20) * -0.027917 + 1.2525)))^(1/1.21)</f>
        <v>1.007441768684227</v>
      </c>
      <c r="D39">
        <v>0.86399999999999999</v>
      </c>
      <c r="E39">
        <f>FACECALC!B2</f>
        <v>0</v>
      </c>
      <c r="F39">
        <v>0</v>
      </c>
      <c r="G39">
        <v>0</v>
      </c>
      <c r="H39">
        <v>0</v>
      </c>
      <c r="I39">
        <v>0</v>
      </c>
      <c r="J39" s="1">
        <f>IF(E39&gt;75,1,0)</f>
        <v>0</v>
      </c>
    </row>
    <row r="40" spans="1:10" x14ac:dyDescent="0.3">
      <c r="A40" t="s">
        <v>189</v>
      </c>
      <c r="B40" t="s">
        <v>195</v>
      </c>
      <c r="C40">
        <v>0.63200000000000001</v>
      </c>
      <c r="D40">
        <v>0.63200000000000001</v>
      </c>
      <c r="E40">
        <v>65</v>
      </c>
      <c r="F40">
        <v>0</v>
      </c>
      <c r="G40">
        <v>0</v>
      </c>
      <c r="H40">
        <v>0</v>
      </c>
      <c r="I40">
        <v>0</v>
      </c>
      <c r="J40">
        <v>0</v>
      </c>
    </row>
    <row r="41" spans="1:10" x14ac:dyDescent="0.3">
      <c r="A41" t="s">
        <v>190</v>
      </c>
      <c r="B41" t="s">
        <v>196</v>
      </c>
      <c r="C41">
        <v>0.71199999999999997</v>
      </c>
      <c r="D41">
        <v>0.71199999999999997</v>
      </c>
      <c r="E41">
        <v>65</v>
      </c>
      <c r="F41">
        <v>0</v>
      </c>
      <c r="G41">
        <v>0</v>
      </c>
      <c r="H41">
        <v>0</v>
      </c>
      <c r="I41">
        <v>0</v>
      </c>
      <c r="J41">
        <v>0</v>
      </c>
    </row>
    <row r="42" spans="1:10" x14ac:dyDescent="0.3">
      <c r="A42" t="s">
        <v>191</v>
      </c>
      <c r="B42" t="s">
        <v>197</v>
      </c>
      <c r="C42">
        <v>0.82799999999999996</v>
      </c>
      <c r="D42">
        <v>0.82799999999999996</v>
      </c>
      <c r="E42">
        <v>65</v>
      </c>
      <c r="F42">
        <v>0</v>
      </c>
      <c r="G42">
        <v>0</v>
      </c>
      <c r="H42">
        <v>0</v>
      </c>
      <c r="I42">
        <v>0</v>
      </c>
      <c r="J42">
        <v>0</v>
      </c>
    </row>
    <row r="43" spans="1:10" x14ac:dyDescent="0.3">
      <c r="A43" t="s">
        <v>192</v>
      </c>
      <c r="B43" t="s">
        <v>198</v>
      </c>
      <c r="C43">
        <f>IF('Ins&amp;Outs'!F6&lt;8.11,0.877,0.828)</f>
        <v>0.877</v>
      </c>
      <c r="D43">
        <f>C43</f>
        <v>0.877</v>
      </c>
      <c r="E43">
        <v>65</v>
      </c>
      <c r="F43">
        <v>0</v>
      </c>
      <c r="G43">
        <v>0</v>
      </c>
      <c r="H43">
        <v>0</v>
      </c>
      <c r="I43">
        <v>0</v>
      </c>
      <c r="J43">
        <v>0</v>
      </c>
    </row>
    <row r="44" spans="1:10" x14ac:dyDescent="0.3">
      <c r="A44" t="s">
        <v>193</v>
      </c>
      <c r="B44" t="s">
        <v>199</v>
      </c>
      <c r="C44">
        <v>0.9</v>
      </c>
      <c r="D44">
        <v>0.9</v>
      </c>
      <c r="E44">
        <v>59</v>
      </c>
      <c r="F44">
        <v>0</v>
      </c>
      <c r="G44">
        <v>0</v>
      </c>
      <c r="H44">
        <v>0</v>
      </c>
      <c r="I44">
        <v>1</v>
      </c>
      <c r="J44">
        <v>0</v>
      </c>
    </row>
    <row r="45" spans="1:10" x14ac:dyDescent="0.3">
      <c r="A45" t="s">
        <v>194</v>
      </c>
      <c r="B45" t="s">
        <v>200</v>
      </c>
      <c r="C45">
        <v>0.96</v>
      </c>
      <c r="D45">
        <v>0.96</v>
      </c>
      <c r="E45">
        <v>59</v>
      </c>
      <c r="F45">
        <v>0</v>
      </c>
      <c r="G45">
        <v>0</v>
      </c>
      <c r="H45">
        <v>1</v>
      </c>
      <c r="I45">
        <v>1</v>
      </c>
      <c r="J45">
        <v>0</v>
      </c>
    </row>
    <row r="47" spans="1:10" x14ac:dyDescent="0.3">
      <c r="A47" t="s">
        <v>202</v>
      </c>
    </row>
    <row r="48" spans="1:10" x14ac:dyDescent="0.3">
      <c r="A48" t="s">
        <v>159</v>
      </c>
      <c r="B48" t="s">
        <v>167</v>
      </c>
      <c r="C48">
        <v>0.61699999999999999</v>
      </c>
      <c r="D48">
        <v>0.61699999999999999</v>
      </c>
      <c r="E48">
        <f>FACECALC!B2</f>
        <v>0</v>
      </c>
      <c r="F48">
        <v>1</v>
      </c>
      <c r="G48">
        <v>0</v>
      </c>
      <c r="H48">
        <v>0</v>
      </c>
      <c r="I48">
        <v>0</v>
      </c>
      <c r="J48">
        <v>0</v>
      </c>
    </row>
    <row r="49" spans="1:10" x14ac:dyDescent="0.3">
      <c r="A49" t="s">
        <v>160</v>
      </c>
      <c r="B49" t="s">
        <v>168</v>
      </c>
      <c r="C49">
        <v>0.57499999999999996</v>
      </c>
      <c r="D49">
        <v>0.45</v>
      </c>
      <c r="E49">
        <v>70</v>
      </c>
      <c r="F49">
        <v>0</v>
      </c>
      <c r="G49">
        <v>1</v>
      </c>
      <c r="H49">
        <v>0</v>
      </c>
      <c r="I49">
        <v>0</v>
      </c>
      <c r="J49">
        <v>0</v>
      </c>
    </row>
    <row r="50" spans="1:10" x14ac:dyDescent="0.3">
      <c r="A50" t="s">
        <v>161</v>
      </c>
      <c r="B50" t="s">
        <v>169</v>
      </c>
      <c r="C50" s="1">
        <f>0.702*0.982*(IF('Ins&amp;Outs'!F6 &lt; 8,
    (MIN('Ins&amp;Outs'!F6, 20) * -0.035 + 1.28) * (MIN('Ins&amp;Outs'!F6, 20) * -0.027917 + 1.2525),
    (MIN('Ins&amp;Outs'!F6, 20) * -0.027917 + 1.2525)))^(1/1.21)</f>
        <v>0.97682889726012068</v>
      </c>
      <c r="D50">
        <v>0.86399999999999999</v>
      </c>
      <c r="E50">
        <f>FACECALC!B2</f>
        <v>0</v>
      </c>
      <c r="F50">
        <v>0</v>
      </c>
      <c r="G50">
        <v>0</v>
      </c>
      <c r="H50">
        <v>0</v>
      </c>
      <c r="I50">
        <v>0</v>
      </c>
      <c r="J50" s="1">
        <f>IF(E50&gt;75,1,0)</f>
        <v>0</v>
      </c>
    </row>
    <row r="51" spans="1:10" x14ac:dyDescent="0.3">
      <c r="A51" t="s">
        <v>162</v>
      </c>
      <c r="B51" t="s">
        <v>170</v>
      </c>
      <c r="C51" s="1">
        <f>0.724*0.982*(IF('Ins&amp;Outs'!F6 &lt; 8,
    (MIN('Ins&amp;Outs'!F6, 20) * -0.035 + 1.28) * (MIN('Ins&amp;Outs'!F6, 20) * -0.027917 + 1.2525),
    (MIN('Ins&amp;Outs'!F6, 20) * -0.027917 + 1.2525)))^(1/1.21)</f>
        <v>1.007441768684227</v>
      </c>
      <c r="D51">
        <v>0.86399999999999999</v>
      </c>
      <c r="E51">
        <f>FACECALC!B2</f>
        <v>0</v>
      </c>
      <c r="F51">
        <v>0</v>
      </c>
      <c r="G51">
        <v>0</v>
      </c>
      <c r="H51">
        <v>0</v>
      </c>
      <c r="I51">
        <v>0</v>
      </c>
      <c r="J51" s="1">
        <f>IF(E51&gt;75,1,0)</f>
        <v>0</v>
      </c>
    </row>
    <row r="52" spans="1:10" x14ac:dyDescent="0.3">
      <c r="A52" t="s">
        <v>163</v>
      </c>
      <c r="B52" t="s">
        <v>171</v>
      </c>
      <c r="C52">
        <v>0.78700000000000003</v>
      </c>
      <c r="D52">
        <v>0.78700000000000003</v>
      </c>
      <c r="E52">
        <v>65</v>
      </c>
      <c r="F52">
        <v>2</v>
      </c>
      <c r="G52">
        <v>0</v>
      </c>
      <c r="H52">
        <v>0</v>
      </c>
      <c r="I52">
        <v>0</v>
      </c>
      <c r="J52">
        <v>0</v>
      </c>
    </row>
    <row r="53" spans="1:10" x14ac:dyDescent="0.3">
      <c r="A53" t="s">
        <v>203</v>
      </c>
      <c r="B53" t="s">
        <v>206</v>
      </c>
      <c r="C53">
        <v>0.85</v>
      </c>
      <c r="D53">
        <v>0.85</v>
      </c>
      <c r="E53">
        <v>65</v>
      </c>
      <c r="F53">
        <v>0</v>
      </c>
      <c r="G53">
        <v>0</v>
      </c>
      <c r="H53">
        <v>0</v>
      </c>
      <c r="I53">
        <v>0</v>
      </c>
      <c r="J53">
        <v>0</v>
      </c>
    </row>
    <row r="54" spans="1:10" x14ac:dyDescent="0.3">
      <c r="A54" t="s">
        <v>204</v>
      </c>
      <c r="B54" t="s">
        <v>207</v>
      </c>
      <c r="C54">
        <v>0.9</v>
      </c>
      <c r="D54">
        <v>0.9</v>
      </c>
      <c r="E54">
        <v>65</v>
      </c>
      <c r="F54">
        <v>0</v>
      </c>
      <c r="G54">
        <v>0</v>
      </c>
      <c r="H54">
        <v>0</v>
      </c>
      <c r="I54">
        <v>0</v>
      </c>
      <c r="J54">
        <v>0</v>
      </c>
    </row>
    <row r="55" spans="1:10" x14ac:dyDescent="0.3">
      <c r="A55" t="s">
        <v>205</v>
      </c>
      <c r="B55" t="s">
        <v>208</v>
      </c>
      <c r="C55">
        <v>1</v>
      </c>
      <c r="D55">
        <v>1</v>
      </c>
      <c r="E55">
        <v>65</v>
      </c>
      <c r="F55">
        <v>0</v>
      </c>
      <c r="G55">
        <v>0</v>
      </c>
      <c r="H55">
        <v>1</v>
      </c>
      <c r="I55">
        <v>1</v>
      </c>
      <c r="J55">
        <v>0</v>
      </c>
    </row>
    <row r="57" spans="1:10" x14ac:dyDescent="0.3">
      <c r="A57" t="s">
        <v>210</v>
      </c>
    </row>
    <row r="58" spans="1:10" x14ac:dyDescent="0.3">
      <c r="A58" t="s">
        <v>159</v>
      </c>
      <c r="B58" t="s">
        <v>167</v>
      </c>
      <c r="C58">
        <v>0.61699999999999999</v>
      </c>
      <c r="D58">
        <v>0.61699999999999999</v>
      </c>
      <c r="E58">
        <f>FACECALC!B2</f>
        <v>0</v>
      </c>
      <c r="F58">
        <v>1</v>
      </c>
      <c r="G58">
        <v>0</v>
      </c>
      <c r="H58">
        <v>0</v>
      </c>
      <c r="I58">
        <v>0</v>
      </c>
      <c r="J58">
        <v>0</v>
      </c>
    </row>
    <row r="59" spans="1:10" x14ac:dyDescent="0.3">
      <c r="A59" t="s">
        <v>160</v>
      </c>
      <c r="B59" t="s">
        <v>168</v>
      </c>
      <c r="C59">
        <v>0.57499999999999996</v>
      </c>
      <c r="D59">
        <v>0.45</v>
      </c>
      <c r="E59">
        <v>70</v>
      </c>
      <c r="F59">
        <v>0</v>
      </c>
      <c r="G59">
        <v>1</v>
      </c>
      <c r="H59">
        <v>0</v>
      </c>
      <c r="I59">
        <v>0</v>
      </c>
      <c r="J59">
        <v>0</v>
      </c>
    </row>
    <row r="60" spans="1:10" x14ac:dyDescent="0.3">
      <c r="A60" t="s">
        <v>161</v>
      </c>
      <c r="B60" t="s">
        <v>169</v>
      </c>
      <c r="C60" s="1">
        <f>0.702*0.982*(IF('Ins&amp;Outs'!F6 &lt; 8,
    (MIN('Ins&amp;Outs'!F6, 20) * -0.035 + 1.28) * (MIN('Ins&amp;Outs'!F6, 20) * -0.027917 + 1.2525),
    (MIN('Ins&amp;Outs'!F6, 20) * -0.027917 + 1.2525)))^(1/1.21)</f>
        <v>0.97682889726012068</v>
      </c>
      <c r="D60">
        <v>0.86399999999999999</v>
      </c>
      <c r="E60">
        <f>FACECALC!B2</f>
        <v>0</v>
      </c>
      <c r="F60">
        <v>0</v>
      </c>
      <c r="G60">
        <v>0</v>
      </c>
      <c r="H60">
        <v>0</v>
      </c>
      <c r="I60">
        <v>0</v>
      </c>
      <c r="J60" s="1">
        <f>IF(E60&gt;75,1,0)</f>
        <v>0</v>
      </c>
    </row>
    <row r="61" spans="1:10" x14ac:dyDescent="0.3">
      <c r="A61" t="s">
        <v>162</v>
      </c>
      <c r="B61" t="s">
        <v>170</v>
      </c>
      <c r="C61" s="1">
        <f>0.724*0.982*(IF('Ins&amp;Outs'!F6 &lt; 8,
    (MIN('Ins&amp;Outs'!F6, 20) * -0.035 + 1.28) * (MIN('Ins&amp;Outs'!F6, 20) * -0.027917 + 1.2525),
    (MIN('Ins&amp;Outs'!F6, 20) * -0.027917 + 1.2525)))^(1/1.21)</f>
        <v>1.007441768684227</v>
      </c>
      <c r="D61">
        <v>0.86399999999999999</v>
      </c>
      <c r="E61">
        <f>FACECALC!B2</f>
        <v>0</v>
      </c>
      <c r="F61">
        <v>0</v>
      </c>
      <c r="G61">
        <v>0</v>
      </c>
      <c r="H61">
        <v>0</v>
      </c>
      <c r="I61">
        <v>0</v>
      </c>
      <c r="J61" s="1">
        <f>IF(E61&gt;75,1,0)</f>
        <v>0</v>
      </c>
    </row>
    <row r="62" spans="1:10" x14ac:dyDescent="0.3">
      <c r="A62" t="s">
        <v>163</v>
      </c>
      <c r="B62" t="s">
        <v>171</v>
      </c>
      <c r="C62">
        <v>0.78700000000000003</v>
      </c>
      <c r="D62">
        <v>0.78700000000000003</v>
      </c>
      <c r="E62">
        <v>65</v>
      </c>
      <c r="F62">
        <v>2</v>
      </c>
      <c r="G62">
        <v>0</v>
      </c>
      <c r="H62">
        <v>0</v>
      </c>
      <c r="I62">
        <v>0</v>
      </c>
      <c r="J62">
        <v>0</v>
      </c>
    </row>
    <row r="63" spans="1:10" x14ac:dyDescent="0.3">
      <c r="A63" t="s">
        <v>181</v>
      </c>
      <c r="B63" t="s">
        <v>211</v>
      </c>
      <c r="C63">
        <v>0.85</v>
      </c>
      <c r="D63">
        <v>0.85</v>
      </c>
      <c r="E63">
        <v>65</v>
      </c>
      <c r="F63">
        <v>0</v>
      </c>
      <c r="G63">
        <v>0</v>
      </c>
      <c r="H63">
        <v>2</v>
      </c>
      <c r="I63">
        <v>2</v>
      </c>
      <c r="J63">
        <v>0</v>
      </c>
    </row>
    <row r="64" spans="1:10" x14ac:dyDescent="0.3">
      <c r="A64" t="s">
        <v>212</v>
      </c>
      <c r="B64" t="s">
        <v>213</v>
      </c>
      <c r="C64">
        <v>0.98</v>
      </c>
      <c r="D64">
        <v>0.98</v>
      </c>
      <c r="E64">
        <f>FACECALC!B2</f>
        <v>0</v>
      </c>
      <c r="F64">
        <v>0</v>
      </c>
      <c r="G64">
        <v>0</v>
      </c>
      <c r="H64">
        <v>1</v>
      </c>
      <c r="I64">
        <v>1</v>
      </c>
      <c r="J64">
        <v>0</v>
      </c>
    </row>
    <row r="66" spans="1:10" x14ac:dyDescent="0.3">
      <c r="A66" t="s">
        <v>215</v>
      </c>
    </row>
    <row r="67" spans="1:10" x14ac:dyDescent="0.3">
      <c r="A67" t="s">
        <v>159</v>
      </c>
      <c r="B67" t="s">
        <v>167</v>
      </c>
      <c r="C67">
        <v>0.61699999999999999</v>
      </c>
      <c r="D67">
        <v>0.61699999999999999</v>
      </c>
      <c r="E67">
        <f>FACECALC!B2</f>
        <v>0</v>
      </c>
      <c r="F67">
        <v>1</v>
      </c>
      <c r="G67">
        <v>0</v>
      </c>
      <c r="H67">
        <v>0</v>
      </c>
      <c r="I67">
        <v>0</v>
      </c>
      <c r="J67">
        <v>0</v>
      </c>
    </row>
    <row r="68" spans="1:10" x14ac:dyDescent="0.3">
      <c r="A68" t="s">
        <v>160</v>
      </c>
      <c r="B68" t="s">
        <v>168</v>
      </c>
      <c r="C68">
        <v>0.57499999999999996</v>
      </c>
      <c r="D68">
        <v>0.45</v>
      </c>
      <c r="E68">
        <v>70</v>
      </c>
      <c r="F68">
        <v>0</v>
      </c>
      <c r="G68">
        <v>1</v>
      </c>
      <c r="H68">
        <v>0</v>
      </c>
      <c r="I68">
        <v>0</v>
      </c>
      <c r="J68">
        <v>0</v>
      </c>
    </row>
    <row r="69" spans="1:10" x14ac:dyDescent="0.3">
      <c r="A69" t="s">
        <v>161</v>
      </c>
      <c r="B69" t="s">
        <v>169</v>
      </c>
      <c r="C69" s="1">
        <f>0.702*0.982*(IF('Ins&amp;Outs'!F6 &lt; 8,
    (MIN('Ins&amp;Outs'!F6, 20) * -0.035 + 1.28) * (MIN('Ins&amp;Outs'!F6, 20) * -0.027917 + 1.2525),
    (MIN('Ins&amp;Outs'!F6, 20) * -0.027917 + 1.2525)))^(1/1.21)</f>
        <v>0.97682889726012068</v>
      </c>
      <c r="D69">
        <v>0.86399999999999999</v>
      </c>
      <c r="E69">
        <f>FACECALC!B2</f>
        <v>0</v>
      </c>
      <c r="F69">
        <v>0</v>
      </c>
      <c r="G69">
        <v>0</v>
      </c>
      <c r="H69">
        <v>0</v>
      </c>
      <c r="I69">
        <v>0</v>
      </c>
      <c r="J69" s="1">
        <f>IF(E69&gt;75,1,0)</f>
        <v>0</v>
      </c>
    </row>
    <row r="70" spans="1:10" x14ac:dyDescent="0.3">
      <c r="A70" t="s">
        <v>162</v>
      </c>
      <c r="B70" t="s">
        <v>170</v>
      </c>
      <c r="C70" s="1">
        <f>0.724*0.982*(IF('Ins&amp;Outs'!F6 &lt; 8,
    (MIN('Ins&amp;Outs'!F6, 20) * -0.035 + 1.28) * (MIN('Ins&amp;Outs'!F6, 20) * -0.027917 + 1.2525),
    (MIN('Ins&amp;Outs'!F6, 20) * -0.027917 + 1.2525)))^(1/1.21)</f>
        <v>1.007441768684227</v>
      </c>
      <c r="D70">
        <v>0.86399999999999999</v>
      </c>
      <c r="E70">
        <f>FACECALC!B2</f>
        <v>0</v>
      </c>
      <c r="F70">
        <v>0</v>
      </c>
      <c r="G70">
        <v>0</v>
      </c>
      <c r="H70">
        <v>0</v>
      </c>
      <c r="I70">
        <v>0</v>
      </c>
      <c r="J70" s="1">
        <f>IF(E70&gt;75,1,0)</f>
        <v>0</v>
      </c>
    </row>
    <row r="71" spans="1:10" x14ac:dyDescent="0.3">
      <c r="A71" t="s">
        <v>163</v>
      </c>
      <c r="B71" t="s">
        <v>171</v>
      </c>
      <c r="C71">
        <v>0.78700000000000003</v>
      </c>
      <c r="D71">
        <v>0.78700000000000003</v>
      </c>
      <c r="E71">
        <v>65</v>
      </c>
      <c r="F71">
        <v>2</v>
      </c>
      <c r="G71">
        <v>0</v>
      </c>
      <c r="H71">
        <v>0</v>
      </c>
      <c r="I71">
        <v>0</v>
      </c>
      <c r="J71">
        <v>0</v>
      </c>
    </row>
    <row r="72" spans="1:10" x14ac:dyDescent="0.3">
      <c r="A72" t="s">
        <v>181</v>
      </c>
      <c r="B72" t="s">
        <v>184</v>
      </c>
      <c r="C72">
        <v>0.85</v>
      </c>
      <c r="D72">
        <v>0.85</v>
      </c>
      <c r="E72">
        <v>65</v>
      </c>
      <c r="F72">
        <v>0</v>
      </c>
      <c r="G72">
        <v>0</v>
      </c>
      <c r="H72">
        <v>2</v>
      </c>
      <c r="I72">
        <v>2</v>
      </c>
      <c r="J72">
        <v>0</v>
      </c>
    </row>
    <row r="73" spans="1:10" x14ac:dyDescent="0.3">
      <c r="A73" t="s">
        <v>216</v>
      </c>
      <c r="B73" t="s">
        <v>217</v>
      </c>
      <c r="C73">
        <v>0.83899999999999997</v>
      </c>
      <c r="D73">
        <v>0.83899999999999997</v>
      </c>
      <c r="E73">
        <v>65</v>
      </c>
      <c r="F73">
        <v>0</v>
      </c>
      <c r="G73">
        <v>0</v>
      </c>
      <c r="H73">
        <v>0</v>
      </c>
      <c r="I73">
        <v>0</v>
      </c>
      <c r="J73">
        <v>0</v>
      </c>
    </row>
    <row r="75" spans="1:10" x14ac:dyDescent="0.3">
      <c r="A75" t="s">
        <v>219</v>
      </c>
    </row>
    <row r="76" spans="1:10" x14ac:dyDescent="0.3">
      <c r="A76" t="s">
        <v>159</v>
      </c>
      <c r="B76" t="s">
        <v>167</v>
      </c>
      <c r="C76">
        <v>0.61699999999999999</v>
      </c>
      <c r="D76">
        <v>0.61699999999999999</v>
      </c>
      <c r="E76">
        <f>FACECALC!B2</f>
        <v>0</v>
      </c>
      <c r="F76">
        <v>1</v>
      </c>
      <c r="G76">
        <v>0</v>
      </c>
      <c r="H76">
        <v>0</v>
      </c>
      <c r="I76">
        <v>0</v>
      </c>
      <c r="J76">
        <v>0</v>
      </c>
    </row>
    <row r="77" spans="1:10" x14ac:dyDescent="0.3">
      <c r="A77" t="s">
        <v>160</v>
      </c>
      <c r="B77" t="s">
        <v>168</v>
      </c>
      <c r="C77">
        <v>0.57499999999999996</v>
      </c>
      <c r="D77">
        <v>0.45</v>
      </c>
      <c r="E77">
        <v>70</v>
      </c>
      <c r="F77">
        <v>0</v>
      </c>
      <c r="G77">
        <v>1</v>
      </c>
      <c r="H77">
        <v>0</v>
      </c>
      <c r="I77">
        <v>0</v>
      </c>
      <c r="J77">
        <v>0</v>
      </c>
    </row>
    <row r="78" spans="1:10" x14ac:dyDescent="0.3">
      <c r="A78" t="s">
        <v>161</v>
      </c>
      <c r="B78" t="s">
        <v>169</v>
      </c>
      <c r="C78" s="1">
        <f>0.702*0.982*(IF('Ins&amp;Outs'!F6 &lt; 8,
    (MIN('Ins&amp;Outs'!F6, 20) * -0.035 + 1.28) * (MIN('Ins&amp;Outs'!F6, 20) * -0.027917 + 1.2525),
    (MIN('Ins&amp;Outs'!F6, 20) * -0.027917 + 1.2525)))^(1/1.21)</f>
        <v>0.97682889726012068</v>
      </c>
      <c r="D78">
        <v>0.86399999999999999</v>
      </c>
      <c r="E78">
        <f>FACECALC!B2</f>
        <v>0</v>
      </c>
      <c r="F78">
        <v>0</v>
      </c>
      <c r="G78">
        <v>0</v>
      </c>
      <c r="H78">
        <v>0</v>
      </c>
      <c r="I78">
        <v>0</v>
      </c>
      <c r="J78" s="1">
        <f>IF(E78&gt;75,1,0)</f>
        <v>0</v>
      </c>
    </row>
    <row r="79" spans="1:10" x14ac:dyDescent="0.3">
      <c r="A79" t="s">
        <v>162</v>
      </c>
      <c r="B79" t="s">
        <v>170</v>
      </c>
      <c r="C79" s="1">
        <f>0.724*0.982*(IF('Ins&amp;Outs'!F6 &lt; 8,
    (MIN('Ins&amp;Outs'!F6, 20) * -0.035 + 1.28) * (MIN('Ins&amp;Outs'!F6, 20) * -0.027917 + 1.2525),
    (MIN('Ins&amp;Outs'!F6, 20) * -0.027917 + 1.2525)))^(1/1.21)</f>
        <v>1.007441768684227</v>
      </c>
      <c r="D79">
        <v>0.86399999999999999</v>
      </c>
      <c r="E79">
        <f>FACECALC!B2</f>
        <v>0</v>
      </c>
      <c r="F79">
        <v>0</v>
      </c>
      <c r="G79">
        <v>0</v>
      </c>
      <c r="H79">
        <v>0</v>
      </c>
      <c r="I79">
        <v>0</v>
      </c>
      <c r="J79" s="1">
        <f>IF(E79&gt;75,1,0)</f>
        <v>0</v>
      </c>
    </row>
    <row r="80" spans="1:10" x14ac:dyDescent="0.3">
      <c r="A80" t="s">
        <v>220</v>
      </c>
      <c r="B80" t="s">
        <v>221</v>
      </c>
      <c r="C80">
        <v>0.94699999999999995</v>
      </c>
      <c r="D80">
        <v>0.94699999999999995</v>
      </c>
      <c r="E80">
        <v>65</v>
      </c>
      <c r="F80">
        <v>0</v>
      </c>
      <c r="G80">
        <v>0</v>
      </c>
      <c r="H80">
        <v>1</v>
      </c>
      <c r="I80">
        <v>1</v>
      </c>
      <c r="J80">
        <v>0</v>
      </c>
    </row>
    <row r="82" spans="1:10" x14ac:dyDescent="0.3">
      <c r="A82" t="s">
        <v>223</v>
      </c>
    </row>
    <row r="83" spans="1:10" x14ac:dyDescent="0.3">
      <c r="A83" t="s">
        <v>159</v>
      </c>
      <c r="B83" t="s">
        <v>167</v>
      </c>
      <c r="C83">
        <v>0.61699999999999999</v>
      </c>
      <c r="D83">
        <v>0.61699999999999999</v>
      </c>
      <c r="E83">
        <f>FACECALC!B2</f>
        <v>0</v>
      </c>
      <c r="F83">
        <v>1</v>
      </c>
      <c r="G83">
        <v>0</v>
      </c>
      <c r="H83">
        <v>0</v>
      </c>
      <c r="I83">
        <v>0</v>
      </c>
      <c r="J83">
        <v>0</v>
      </c>
    </row>
    <row r="84" spans="1:10" x14ac:dyDescent="0.3">
      <c r="A84" t="s">
        <v>160</v>
      </c>
      <c r="B84" t="s">
        <v>168</v>
      </c>
      <c r="C84">
        <v>0.57499999999999996</v>
      </c>
      <c r="D84">
        <v>0.45</v>
      </c>
      <c r="E84">
        <v>70</v>
      </c>
      <c r="F84">
        <v>0</v>
      </c>
      <c r="G84">
        <v>1</v>
      </c>
      <c r="H84">
        <v>0</v>
      </c>
      <c r="I84">
        <v>0</v>
      </c>
      <c r="J84">
        <v>0</v>
      </c>
    </row>
    <row r="85" spans="1:10" x14ac:dyDescent="0.3">
      <c r="A85" t="s">
        <v>161</v>
      </c>
      <c r="B85" t="s">
        <v>169</v>
      </c>
      <c r="C85" s="1">
        <f>0.702*0.982*(IF('Ins&amp;Outs'!F6 &lt; 8,
    (MIN('Ins&amp;Outs'!F6, 20) * -0.035 + 1.28) * (MIN('Ins&amp;Outs'!F6, 20) * -0.027917 + 1.2525),
    (MIN('Ins&amp;Outs'!F6, 20) * -0.027917 + 1.2525)))^(1/1.21)</f>
        <v>0.97682889726012068</v>
      </c>
      <c r="D85">
        <v>0.86399999999999999</v>
      </c>
      <c r="E85">
        <f>FACECALC!B2</f>
        <v>0</v>
      </c>
      <c r="F85">
        <v>0</v>
      </c>
      <c r="G85">
        <v>0</v>
      </c>
      <c r="H85">
        <v>0</v>
      </c>
      <c r="I85">
        <v>0</v>
      </c>
      <c r="J85" s="1">
        <f>IF(E85&gt;75,1,0)</f>
        <v>0</v>
      </c>
    </row>
    <row r="86" spans="1:10" x14ac:dyDescent="0.3">
      <c r="A86" t="s">
        <v>162</v>
      </c>
      <c r="B86" t="s">
        <v>170</v>
      </c>
      <c r="C86" s="1">
        <f>0.724*0.982*(IF('Ins&amp;Outs'!F6 &lt; 8,
    (MIN('Ins&amp;Outs'!F6, 20) * -0.035 + 1.28) * (MIN('Ins&amp;Outs'!F6, 20) * -0.027917 + 1.2525),
    (MIN('Ins&amp;Outs'!F6, 20) * -0.027917 + 1.2525)))^(1/1.21)</f>
        <v>1.007441768684227</v>
      </c>
      <c r="D86">
        <v>0.86399999999999999</v>
      </c>
      <c r="E86">
        <f>FACECALC!B2</f>
        <v>0</v>
      </c>
      <c r="F86">
        <v>0</v>
      </c>
      <c r="G86">
        <v>0</v>
      </c>
      <c r="H86">
        <v>0</v>
      </c>
      <c r="I86">
        <v>0</v>
      </c>
      <c r="J86" s="1">
        <f>IF(E86&gt;75,1,0)</f>
        <v>0</v>
      </c>
    </row>
    <row r="87" spans="1:10" x14ac:dyDescent="0.3">
      <c r="A87" t="s">
        <v>163</v>
      </c>
      <c r="B87" t="s">
        <v>171</v>
      </c>
      <c r="C87">
        <v>0.78700000000000003</v>
      </c>
      <c r="D87">
        <v>0.78700000000000003</v>
      </c>
      <c r="E87">
        <v>65</v>
      </c>
      <c r="F87">
        <v>2</v>
      </c>
      <c r="G87">
        <v>0</v>
      </c>
      <c r="H87">
        <v>0</v>
      </c>
      <c r="I87">
        <v>0</v>
      </c>
      <c r="J87">
        <v>0</v>
      </c>
    </row>
    <row r="88" spans="1:10" x14ac:dyDescent="0.3">
      <c r="A88" t="s">
        <v>203</v>
      </c>
      <c r="B88" t="s">
        <v>206</v>
      </c>
      <c r="C88">
        <v>0.85</v>
      </c>
      <c r="D88">
        <v>0.85</v>
      </c>
      <c r="E88">
        <v>65</v>
      </c>
      <c r="F88">
        <v>0</v>
      </c>
      <c r="G88">
        <v>0</v>
      </c>
      <c r="H88">
        <v>0</v>
      </c>
      <c r="I88">
        <v>0</v>
      </c>
      <c r="J88">
        <v>0</v>
      </c>
    </row>
    <row r="89" spans="1:10" x14ac:dyDescent="0.3">
      <c r="A89" t="s">
        <v>204</v>
      </c>
      <c r="B89" t="s">
        <v>207</v>
      </c>
      <c r="C89">
        <v>0.9</v>
      </c>
      <c r="D89">
        <v>0.9</v>
      </c>
      <c r="E89">
        <v>65</v>
      </c>
      <c r="F89">
        <v>0</v>
      </c>
      <c r="G89">
        <v>0</v>
      </c>
      <c r="H89">
        <v>0</v>
      </c>
      <c r="I89">
        <v>0</v>
      </c>
      <c r="J89">
        <v>0</v>
      </c>
    </row>
    <row r="90" spans="1:10" x14ac:dyDescent="0.3">
      <c r="A90" t="s">
        <v>205</v>
      </c>
      <c r="B90" t="s">
        <v>208</v>
      </c>
      <c r="C90">
        <v>1</v>
      </c>
      <c r="D90">
        <v>1</v>
      </c>
      <c r="E90">
        <v>65</v>
      </c>
      <c r="F90">
        <v>0</v>
      </c>
      <c r="G90">
        <v>0</v>
      </c>
      <c r="H90">
        <v>1</v>
      </c>
      <c r="I90">
        <v>1</v>
      </c>
      <c r="J90">
        <v>0</v>
      </c>
    </row>
  </sheetData>
  <sheetProtection algorithmName="SHA-512" hashValue="PxtSAbM8qzi1Fspy2JnuOFEam22bToTG+SHHJC4r0oCU5iVmfbhhE4lPEhpuYgv55bYqMk8mowLXWeKDgIQwmA==" saltValue="+hpvk6XdwBw+XKuRxIfQag==" spinCount="100000" sheet="1" objects="1" scenarios="1"/>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EE24-84BE-4302-9035-E2BF72060B80}">
  <sheetPr codeName="Sheet41"/>
  <dimension ref="A1:B48"/>
  <sheetViews>
    <sheetView workbookViewId="0">
      <selection activeCell="E43" sqref="E43"/>
    </sheetView>
  </sheetViews>
  <sheetFormatPr defaultRowHeight="14.4" x14ac:dyDescent="0.3"/>
  <sheetData>
    <row r="1" spans="1:2" x14ac:dyDescent="0.3">
      <c r="A1" t="s">
        <v>831</v>
      </c>
    </row>
    <row r="2" spans="1:2" x14ac:dyDescent="0.3">
      <c r="A2" t="s">
        <v>554</v>
      </c>
      <c r="B2" t="s">
        <v>553</v>
      </c>
    </row>
    <row r="3" spans="1:2" x14ac:dyDescent="0.3">
      <c r="A3">
        <v>111</v>
      </c>
      <c r="B3" t="s">
        <v>555</v>
      </c>
    </row>
    <row r="4" spans="1:2" x14ac:dyDescent="0.3">
      <c r="A4">
        <v>121</v>
      </c>
      <c r="B4" t="s">
        <v>556</v>
      </c>
    </row>
    <row r="5" spans="1:2" x14ac:dyDescent="0.3">
      <c r="A5">
        <v>180</v>
      </c>
      <c r="B5" t="s">
        <v>557</v>
      </c>
    </row>
    <row r="6" spans="1:2" x14ac:dyDescent="0.3">
      <c r="A6">
        <v>185</v>
      </c>
      <c r="B6" t="s">
        <v>558</v>
      </c>
    </row>
    <row r="7" spans="1:2" x14ac:dyDescent="0.3">
      <c r="A7">
        <v>195</v>
      </c>
      <c r="B7" t="s">
        <v>559</v>
      </c>
    </row>
    <row r="8" spans="1:2" x14ac:dyDescent="0.3">
      <c r="A8">
        <v>208</v>
      </c>
      <c r="B8" t="s">
        <v>560</v>
      </c>
    </row>
    <row r="9" spans="1:2" x14ac:dyDescent="0.3">
      <c r="A9">
        <v>215</v>
      </c>
      <c r="B9" t="s">
        <v>561</v>
      </c>
    </row>
    <row r="10" spans="1:2" x14ac:dyDescent="0.3">
      <c r="A10">
        <v>221</v>
      </c>
      <c r="B10" t="s">
        <v>562</v>
      </c>
    </row>
    <row r="11" spans="1:2" x14ac:dyDescent="0.3">
      <c r="A11">
        <v>243</v>
      </c>
      <c r="B11" t="s">
        <v>563</v>
      </c>
    </row>
    <row r="12" spans="1:2" x14ac:dyDescent="0.3">
      <c r="A12">
        <v>280</v>
      </c>
      <c r="B12" t="s">
        <v>564</v>
      </c>
    </row>
    <row r="13" spans="1:2" x14ac:dyDescent="0.3">
      <c r="A13">
        <v>410</v>
      </c>
      <c r="B13" t="s">
        <v>565</v>
      </c>
    </row>
    <row r="14" spans="1:2" x14ac:dyDescent="0.3">
      <c r="A14">
        <v>432</v>
      </c>
      <c r="B14" t="s">
        <v>566</v>
      </c>
    </row>
    <row r="15" spans="1:2" x14ac:dyDescent="0.3">
      <c r="A15">
        <v>438</v>
      </c>
      <c r="B15" t="s">
        <v>567</v>
      </c>
    </row>
    <row r="16" spans="1:2" x14ac:dyDescent="0.3">
      <c r="A16">
        <v>641</v>
      </c>
      <c r="B16" t="s">
        <v>568</v>
      </c>
    </row>
    <row r="17" spans="1:2" x14ac:dyDescent="0.3">
      <c r="A17">
        <v>779</v>
      </c>
      <c r="B17" t="s">
        <v>569</v>
      </c>
    </row>
    <row r="18" spans="1:2" x14ac:dyDescent="0.3">
      <c r="A18">
        <v>784</v>
      </c>
      <c r="B18" t="s">
        <v>570</v>
      </c>
    </row>
    <row r="19" spans="1:2" x14ac:dyDescent="0.3">
      <c r="A19">
        <v>848</v>
      </c>
      <c r="B19" t="s">
        <v>571</v>
      </c>
    </row>
    <row r="20" spans="1:2" x14ac:dyDescent="0.3">
      <c r="A20">
        <v>854</v>
      </c>
      <c r="B20" t="s">
        <v>572</v>
      </c>
    </row>
    <row r="21" spans="1:2" x14ac:dyDescent="0.3">
      <c r="A21">
        <v>911</v>
      </c>
      <c r="B21" t="s">
        <v>573</v>
      </c>
    </row>
    <row r="22" spans="1:2" x14ac:dyDescent="0.3">
      <c r="A22">
        <v>936</v>
      </c>
      <c r="B22" t="s">
        <v>574</v>
      </c>
    </row>
    <row r="23" spans="1:2" x14ac:dyDescent="0.3">
      <c r="A23">
        <v>953</v>
      </c>
      <c r="B23" t="s">
        <v>575</v>
      </c>
    </row>
    <row r="24" spans="1:2" x14ac:dyDescent="0.3">
      <c r="A24">
        <v>1290</v>
      </c>
      <c r="B24" t="s">
        <v>576</v>
      </c>
    </row>
    <row r="25" spans="1:2" x14ac:dyDescent="0.3">
      <c r="A25">
        <v>1307</v>
      </c>
      <c r="B25" t="s">
        <v>577</v>
      </c>
    </row>
    <row r="26" spans="1:2" x14ac:dyDescent="0.3">
      <c r="A26">
        <v>1319</v>
      </c>
      <c r="B26" t="s">
        <v>578</v>
      </c>
    </row>
    <row r="27" spans="1:2" x14ac:dyDescent="0.3">
      <c r="A27">
        <v>1328</v>
      </c>
      <c r="B27" t="s">
        <v>579</v>
      </c>
    </row>
    <row r="28" spans="1:2" x14ac:dyDescent="0.3">
      <c r="A28">
        <v>1353</v>
      </c>
      <c r="B28" t="s">
        <v>580</v>
      </c>
    </row>
    <row r="29" spans="1:2" x14ac:dyDescent="0.3">
      <c r="A29">
        <v>1357</v>
      </c>
      <c r="B29" t="s">
        <v>581</v>
      </c>
    </row>
    <row r="30" spans="1:2" x14ac:dyDescent="0.3">
      <c r="A30">
        <v>1421</v>
      </c>
      <c r="B30" t="s">
        <v>582</v>
      </c>
    </row>
    <row r="31" spans="1:2" x14ac:dyDescent="0.3">
      <c r="A31">
        <v>1551</v>
      </c>
      <c r="B31" t="s">
        <v>583</v>
      </c>
    </row>
    <row r="32" spans="1:2" x14ac:dyDescent="0.3">
      <c r="A32">
        <v>1579</v>
      </c>
      <c r="B32" t="s">
        <v>584</v>
      </c>
    </row>
    <row r="33" spans="1:2" x14ac:dyDescent="0.3">
      <c r="A33">
        <v>1581</v>
      </c>
      <c r="B33" t="s">
        <v>585</v>
      </c>
    </row>
    <row r="34" spans="1:2" x14ac:dyDescent="0.3">
      <c r="A34">
        <v>1617</v>
      </c>
      <c r="B34" t="s">
        <v>586</v>
      </c>
    </row>
    <row r="35" spans="1:2" x14ac:dyDescent="0.3">
      <c r="A35">
        <v>1623</v>
      </c>
      <c r="B35" t="s">
        <v>587</v>
      </c>
    </row>
    <row r="36" spans="1:2" x14ac:dyDescent="0.3">
      <c r="A36">
        <v>1638</v>
      </c>
      <c r="B36" t="s">
        <v>588</v>
      </c>
    </row>
    <row r="37" spans="1:2" x14ac:dyDescent="0.3">
      <c r="A37">
        <v>1649</v>
      </c>
      <c r="B37" t="s">
        <v>589</v>
      </c>
    </row>
    <row r="38" spans="1:2" x14ac:dyDescent="0.3">
      <c r="A38">
        <v>1703</v>
      </c>
      <c r="B38" t="s">
        <v>590</v>
      </c>
    </row>
    <row r="39" spans="1:2" x14ac:dyDescent="0.3">
      <c r="A39">
        <v>1728</v>
      </c>
      <c r="B39" t="s">
        <v>591</v>
      </c>
    </row>
    <row r="40" spans="1:2" x14ac:dyDescent="0.3">
      <c r="A40">
        <v>1729</v>
      </c>
      <c r="B40" t="s">
        <v>592</v>
      </c>
    </row>
    <row r="41" spans="1:2" x14ac:dyDescent="0.3">
      <c r="A41">
        <v>1736</v>
      </c>
      <c r="B41" t="s">
        <v>559</v>
      </c>
    </row>
    <row r="42" spans="1:2" x14ac:dyDescent="0.3">
      <c r="A42">
        <v>1786</v>
      </c>
      <c r="B42" t="s">
        <v>593</v>
      </c>
    </row>
    <row r="43" spans="1:2" x14ac:dyDescent="0.3">
      <c r="A43">
        <v>1800</v>
      </c>
      <c r="B43" t="s">
        <v>594</v>
      </c>
    </row>
    <row r="44" spans="1:2" x14ac:dyDescent="0.3">
      <c r="A44">
        <v>1907</v>
      </c>
      <c r="B44" t="s">
        <v>595</v>
      </c>
    </row>
    <row r="45" spans="1:2" x14ac:dyDescent="0.3">
      <c r="A45">
        <v>1923</v>
      </c>
      <c r="B45" t="s">
        <v>596</v>
      </c>
    </row>
    <row r="46" spans="1:2" x14ac:dyDescent="0.3">
      <c r="A46">
        <v>1928</v>
      </c>
      <c r="B46" t="s">
        <v>597</v>
      </c>
    </row>
    <row r="47" spans="1:2" x14ac:dyDescent="0.3">
      <c r="A47">
        <v>2047</v>
      </c>
      <c r="B47" t="s">
        <v>598</v>
      </c>
    </row>
    <row r="48" spans="1:2" x14ac:dyDescent="0.3">
      <c r="A48">
        <v>2053</v>
      </c>
      <c r="B48" t="s">
        <v>599</v>
      </c>
    </row>
  </sheetData>
  <sheetProtection algorithmName="SHA-512" hashValue="X+PWmWvYtuNiRWZJpuAWsvGYwjYo4ja9EiI0oqlkyUBBjaxBlMI2Od0MZ1kTE03t6ZrzQQcxi68FeipBX9y0Ug==" saltValue="VQxlEipVGQAfFN3HDeBnWw==" spinCount="100000" sheet="1" objects="1" scenarios="1"/>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0B111-ED19-4D67-8479-00ACD7B12160}">
  <sheetPr codeName="Sheet42"/>
  <dimension ref="A1:B3"/>
  <sheetViews>
    <sheetView workbookViewId="0">
      <selection activeCell="E43" sqref="E43"/>
    </sheetView>
  </sheetViews>
  <sheetFormatPr defaultRowHeight="14.4" x14ac:dyDescent="0.3"/>
  <sheetData>
    <row r="1" spans="1:2" x14ac:dyDescent="0.3">
      <c r="A1" t="s">
        <v>831</v>
      </c>
    </row>
    <row r="3" spans="1:2" x14ac:dyDescent="0.3">
      <c r="A3" t="s">
        <v>679</v>
      </c>
      <c r="B3" t="str">
        <f>IF(FINALRESULTS!B5 &lt;= 0.05,IF('main calculation sheet'!B21 = 0,IF('main calculation sheet'!B66 &gt; 0,"Many dangerous splinters thrown from plate back likely due to impact shock.","Few dangerous splinters thrown from plate back due to impact shock."),"Backing material stops splinters thrown from plate back due to impact shock."),"")</f>
        <v/>
      </c>
    </row>
  </sheetData>
  <sheetProtection algorithmName="SHA-512" hashValue="rXJwM2mtTC9eoK2xLCxVNJ1lWeoWdtiwt9FaRNktFZ0ltfjE038z8xmHywUZrQYmIVRVpBICAzegn1NEzI9EWw==" saltValue="62cXiE3LueXrGAOEdjfj4g==" spinCount="100000" sheet="1" objects="1" scenarios="1"/>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46FC0-7753-48EB-BA3E-0C6058AB108A}">
  <sheetPr codeName="Sheet43"/>
  <dimension ref="A1:B14"/>
  <sheetViews>
    <sheetView workbookViewId="0">
      <selection activeCell="E43" sqref="E43"/>
    </sheetView>
  </sheetViews>
  <sheetFormatPr defaultRowHeight="14.4" x14ac:dyDescent="0.3"/>
  <sheetData>
    <row r="1" spans="1:2" x14ac:dyDescent="0.3">
      <c r="A1" t="s">
        <v>831</v>
      </c>
    </row>
    <row r="3" spans="1:2" x14ac:dyDescent="0.3">
      <c r="A3" t="s">
        <v>439</v>
      </c>
      <c r="B3" t="str" cm="1">
        <f t="array" ref="B3">_xlfn.IFS('main calculation sheet'!B56 = 0,IF(AND('main calculation sheet'!B57 = 1,'main calculation sheet'!B28 = 2),"SPECIAL 155mm &amp; 203mm JAP TYPE 91 AP PROJ W/CAP HEAD SHATTER LOGIC USED","STANDARD SHATTER LOGIC USED"),'main calculation sheet'!B56 = 1,"PLATE TOO THIN TO SHATTER PROJECTILE AT THIS OBLIQUITY",'main calculation sheet'!B56 = 2,"HARVEY ARMOR WILL NOT SHATTER THIS PROJECTILE",'main calculation sheet'!B56 = 3,"COMPOUND ARMOR WILL NOT SHATTER THIS PROJECTILE")</f>
        <v>STANDARD SHATTER LOGIC USED</v>
      </c>
    </row>
    <row r="5" spans="1:2" x14ac:dyDescent="0.3">
      <c r="A5" t="s">
        <v>680</v>
      </c>
      <c r="B5" t="str" cm="1">
        <f t="array" ref="B5">_xlfn.IFS(RESULTSPRINT!B4 = 0,IF(BLPLUSEX!B104 = 2,_xlfn.IFS(DAMAGECALC!B30 = 8,"Projectile nose upset and deformed, but little lower body damage from impact.",AND(DAMAGECALC!B30 &gt; 0,DAMAGECALC!B30 &lt; 8),CONCATENATE("Projectile nose ",PENPRINT!B3," by impact, but lower body undamaged."),1=1,"Neither projectile nose nor lower body damaged by impact."),_xlfn.IFS(DAMAGECALC!B30 = 8,"Projectile nose upset &amp; deformed; usually only insignificant lower body damage.",AND(DAMAGECALC!B30 &gt; 0,DAMAGECALC!B30 &lt; 8),CONCATENATE("Projectile nose ",PENPRINT!B3," so 50% chance of major internal lower body damage."),1=1,"Projectile nose intact so usually insignificant lower body damage occurs.")),RESULTSPRINT!B4 = 1,_xlfn.IFS(DAMAGECALC!B30 = 0,"Projectile nose undamaged, but lower body damaged by impact.",DAMAGECALC!B30 = 8,"Projectile nose upset and deformed and lower body damaged by impact.",1=1,CONCATENATE("Projectile nose ",PENPRINT!B3," and lower body damaged by impact.")),RESULTSPRINT!B4 = 2,CONCATENATE("Projectile nose ",PENPRINT!B3," and lower body damaged by impact."))</f>
        <v>Projectile nose broken and lower body damaged by impact.</v>
      </c>
    </row>
    <row r="6" spans="1:2" x14ac:dyDescent="0.3">
      <c r="A6" t="s">
        <v>682</v>
      </c>
      <c r="B6" t="str" cm="1">
        <f t="array" ref="B6">_xlfn.IFS(RESULTSPRINT!B4 = 0,IF(BLPLUSEX!B104 = 2,_xlfn.IFS(DAMAGECALC!B30 = 8,"It is still 'effective' and intact, other than losing nose coverings.",AND(DAMAGECALC!B30 &gt; 0,DAMAGECALC!B30 &lt; 8),"It is only 'effective' if this nose damage does not reach explosive cavity.",1=1,"It is still 'effective' and intact other than losing nose coverings."),"It is still 'effective' unless lower body damage is major internal damage or if"),RESULTSPRINT!B4 = 1,IF(OR(AND('Projectile Data'!AQ4 &gt; 0,'Armor Data'!AM4 = 0),AND('Projectile Data'!AQ4 = 2,'Armor Data'!AM4 = 1)),"It is not 'effective' and lower body is always broken apart by impact.","It is not 'effective' and lower body always suffers major internal damage."),RESULTSPRINT!B4 = 2,"It is not 'effective' and lower body is always broken apart by impact.")</f>
        <v>It is not 'effective' and lower body always suffers major internal damage.</v>
      </c>
    </row>
    <row r="7" spans="1:2" x14ac:dyDescent="0.3">
      <c r="A7" t="s">
        <v>684</v>
      </c>
      <c r="B7" s="1" t="str" cm="1">
        <f t="array" ref="B7">_xlfn.IFS(RESULTSPRINT!B4 = 0,IF(AND(DAMAGECALC!B30 &gt; 0,DAMAGECALC!B30 &lt; 8,PENPRINT!B3 &lt;&gt; "deformed"),CONCATENATE("Nose loses",PENPRINT!B4,"33% body weight and what's left is much weaker."),""),RESULTSPRINT!B4 = 1,IF(OR(AND('Projectile Data'!AQ4 &gt; 0,'Armor Data'!AM4 = 0),AND('Projectile Data'!AQ4 = 2,'Armor Data'!AM4 = 1)),"",IF(AND(DAMAGECALC!B30 &lt;&gt; 0,DAMAGECALC!B30 &lt;&gt; 8,PENPRINT!B3 &lt;&gt; "deformed"),CONCATENATE("Nose loses",PENPRINT!B4,"33% body weight and what's left is much weaker."),"")),1=1,"")</f>
        <v>Nose loses up to 33% body weight and what's left is much weaker.</v>
      </c>
    </row>
    <row r="8" spans="1:2" x14ac:dyDescent="0.3">
      <c r="A8" t="s">
        <v>685</v>
      </c>
      <c r="B8" s="1" t="str">
        <f>IF(AND(RESULTSPRINT!B4 = 0,BLPLUSEX!B104 &lt;&gt; 2),"nose damage reaches explosive cavity, then projectile will not be effective.","")</f>
        <v/>
      </c>
    </row>
    <row r="9" spans="1:2" x14ac:dyDescent="0.3">
      <c r="A9" t="s">
        <v>686</v>
      </c>
      <c r="B9" s="1" t="str">
        <f>IF(OR(AND(RESULTSPRINT!B4 = 0,BLPLUSEX!B104 &lt;&gt; 2),AND(RESULTSPRINT!B4 = 1,OR('Projectile Data'!AQ4 &gt; 0,'Armor Data'!AM4 = 0),AND('Projectile Data'!AQ4 = 2,'Armor Data'!AM4 = 1))),"'Major internal'=base plug/fuze broken, deep cracks or base pieces snapped off.","")</f>
        <v/>
      </c>
    </row>
    <row r="10" spans="1:2" x14ac:dyDescent="0.3">
      <c r="A10" t="s">
        <v>688</v>
      </c>
      <c r="B10">
        <f>IF(OR(RESULTSPRINT!B4 = 1,RESULTSPRINT!B4 = 2),1,0)</f>
        <v>1</v>
      </c>
    </row>
    <row r="11" spans="1:2" x14ac:dyDescent="0.3">
      <c r="A11" t="s">
        <v>687</v>
      </c>
      <c r="B11" t="str" cm="1">
        <f t="array" ref="B11">_xlfn.IFS(OR(DAMAGECALC!B30 = 0,DAMAGECALC!B30 = 8),"If any, only projectile nose coverings stripped off. Nose still in one piece.",AND(DAMAGECALC!B30 &lt; 8,B10 = 0),IF('Projectile Data'!AS4 &gt; 0,"Projectile's large explosive cavity is 'ineffective' due to major nose damage.","Projectile's small explosive cavity rarely affected by any nose breakage."),1=1,"")</f>
        <v/>
      </c>
    </row>
    <row r="13" spans="1:2" x14ac:dyDescent="0.3">
      <c r="A13" t="s">
        <v>689</v>
      </c>
      <c r="B13" t="str">
        <f>CONCATENATE(B5," ",B6," ",B8," ",B9)</f>
        <v xml:space="preserve">Projectile nose broken and lower body damaged by impact. It is not 'effective' and lower body always suffers major internal damage.  </v>
      </c>
    </row>
    <row r="14" spans="1:2" x14ac:dyDescent="0.3">
      <c r="A14" t="s">
        <v>689</v>
      </c>
      <c r="B14" t="str">
        <f>CONCATENATE(B11," ",B7)</f>
        <v xml:space="preserve"> Nose loses up to 33% body weight and what's left is much weaker.</v>
      </c>
    </row>
  </sheetData>
  <sheetProtection algorithmName="SHA-512" hashValue="S2l8QCsADoW5h6xgDET6dTNwlzsncigJIDdqzTCUnEV3hUXpe8T8McJTIc3yn2/NQIrEggq21DFq79zYIwIiaQ==" saltValue="AnhIzXndsX/2oh4xYvkaCA==" spinCount="100000" sheet="1" objects="1" scenarios="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37C7-851F-454A-8465-2CCCA1454A50}">
  <sheetPr codeName="Sheet44"/>
  <dimension ref="A1:B8"/>
  <sheetViews>
    <sheetView workbookViewId="0">
      <selection activeCell="E43" sqref="E43"/>
    </sheetView>
  </sheetViews>
  <sheetFormatPr defaultRowHeight="14.4" x14ac:dyDescent="0.3"/>
  <sheetData>
    <row r="1" spans="1:2" x14ac:dyDescent="0.3">
      <c r="A1" t="s">
        <v>831</v>
      </c>
    </row>
    <row r="3" spans="1:2" x14ac:dyDescent="0.3">
      <c r="A3" t="s">
        <v>690</v>
      </c>
      <c r="B3" t="str" cm="1">
        <f t="array" ref="B3">_xlfn.IFS(FINALRESULTS!B12 &gt; 45,"wobbling or tumbling ",AND(FINALRESULTS!B12 &gt; 30,DAMAGECALC!B30 = 0,RESULTSPRINT!B4 = 0),"has est. 67% chance of wobbling due to ",AND(FINALRESULTS!B12 &gt; 15,DAMAGECALC!B30 = 0,RESULTSPRINT!B4 = 0),"has est. 33% chance of wobbling due to ",AND(FINALRESULTS!B12 &gt; 30,DAMAGECALC!B30 &gt; 0,RESULTSPRINT!B4 &gt; 0),"wobbling or tumbling ",AND(FINALRESULTS!B12 &gt; 15,DAMAGECALC!B30 &gt; 0,RESULTSPRINT!B4 &gt; 0),"has est. 67% chance of ",OR(DAMAGECALC!B30 &gt; 0,RESULTSPRINT!B4 &gt; 0),"has est. 33% chance of ",1=1,"is almost always moving nose-first with little or no wobble.")</f>
        <v xml:space="preserve">wobbling or tumbling </v>
      </c>
    </row>
    <row r="4" spans="1:2" x14ac:dyDescent="0.3">
      <c r="A4" t="s">
        <v>691</v>
      </c>
      <c r="B4" t="str" cm="1">
        <f t="array" ref="B4">_xlfn.IFS(FINALRESULTS!B12 &gt; 45,"due to extreme ",AND(FINALRESULTS!B12 &gt; 30,DAMAGECALC!B30 = 0,RESULTSPRINT!B4 = 0),"change in direction.",AND(FINALRESULTS!B12 &gt; 15,DAMAGECALC!B30 = 0,RESULTSPRINT!B4 = 0),"change in direction.",AND(FINALRESULTS!B12 &gt; 30,DAMAGECALC!B30 &gt; 0,RESULTSPRINT!B4 &gt; 0),"due to ",AND(FINALRESULTS!B12 &gt; 15,DAMAGECALC!B30 &gt; 0,RESULTSPRINT!B4 &gt; 0),"wobbling or tumbling ",OR(DAMAGECALC!B30 &gt; 0,RESULTSPRINT!B4 &gt; 0),"wobbling or tumbling ",1=1,"")</f>
        <v xml:space="preserve">due to extreme </v>
      </c>
    </row>
    <row r="5" spans="1:2" x14ac:dyDescent="0.3">
      <c r="A5" t="s">
        <v>692</v>
      </c>
      <c r="B5" t="str" cm="1">
        <f t="array" ref="B5">_xlfn.IFS(FINALRESULTS!B12 &gt; 45,"change in direction.",AND(FINALRESULTS!B12 &gt; 30,DAMAGECALC!B30 = 0,RESULTSPRINT!B4 = 0),"",AND(FINALRESULTS!B12 &gt; 15,DAMAGECALC!B30 = 0,RESULTSPRINT!B4 = 0),"",AND(FINALRESULTS!B12 &gt; 30,DAMAGECALC!B30 &gt; 0,RESULTSPRINT!B4 &gt; 0),"damage.",AND(FINALRESULTS!B12 &gt; 15,DAMAGECALC!B30 &gt; 0,RESULTSPRINT!B4 &gt; 0),"due to ",OR(DAMAGECALC!B30 &gt; 0,RESULTSPRINT!B4 &gt; 0),"due to ",1=1,"")</f>
        <v>change in direction.</v>
      </c>
    </row>
    <row r="6" spans="1:2" x14ac:dyDescent="0.3">
      <c r="A6" t="s">
        <v>693</v>
      </c>
      <c r="B6" t="str" cm="1">
        <f t="array" ref="B6">_xlfn.IFS(FINALRESULTS!B12 &gt; 45,"",AND(FINALRESULTS!B12 &gt; 30,DAMAGECALC!B30 = 0,RESULTSPRINT!B4 = 0),"",AND(FINALRESULTS!B12 &gt; 15,DAMAGECALC!B30 = 0,RESULTSPRINT!B4 = 0),"",AND(FINALRESULTS!B12 &gt; 30,DAMAGECALC!B30 &gt; 0,RESULTSPRINT!B4 &gt; 0),"",AND(FINALRESULTS!B12 &gt; 15,DAMAGECALC!B30 &gt; 0,RESULTSPRINT!B4 &gt; 0),"damage.",OR(DAMAGECALC!B30 &gt; 0,RESULTSPRINT!B4 &gt; 0),"damage.",1=1,"")</f>
        <v/>
      </c>
    </row>
    <row r="8" spans="1:2" x14ac:dyDescent="0.3">
      <c r="A8" t="s">
        <v>689</v>
      </c>
      <c r="B8" t="str">
        <f>CONCATENATE("Projectile"," ",B3,B4,B5,B6)</f>
        <v>Projectile wobbling or tumbling due to extreme change in direction.</v>
      </c>
    </row>
  </sheetData>
  <sheetProtection algorithmName="SHA-512" hashValue="lZesLshdNVjC/naTA9QaAlSfv8a8mBK3xPPAkF5QfjI1EdjOKfMgawa9aUkbUGp1b0TpxPdfzwTvjSifpFS/2w==" saltValue="L1EfmUPJQDgv38lvMcXe+g==" spinCount="100000" sheet="1" objects="1" scenarios="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464A-EA0A-459A-BDA3-EBA987E47DC3}">
  <sheetPr codeName="Sheet45"/>
  <dimension ref="A1:C37"/>
  <sheetViews>
    <sheetView workbookViewId="0">
      <selection activeCell="E43" sqref="E43"/>
    </sheetView>
  </sheetViews>
  <sheetFormatPr defaultRowHeight="14.4" x14ac:dyDescent="0.3"/>
  <sheetData>
    <row r="1" spans="1:3" x14ac:dyDescent="0.3">
      <c r="A1" t="s">
        <v>831</v>
      </c>
    </row>
    <row r="3" spans="1:3" x14ac:dyDescent="0.3">
      <c r="A3" t="s">
        <v>681</v>
      </c>
      <c r="B3" t="str" cm="1">
        <f t="array" ref="B3">_xlfn.IFS('main calculation sheet'!B57 = 1,"shattered",DAMAGECALC!B30 = 8,"deformed",1=1,"broken")</f>
        <v>broken</v>
      </c>
    </row>
    <row r="4" spans="1:3" x14ac:dyDescent="0.3">
      <c r="A4" t="s">
        <v>683</v>
      </c>
      <c r="B4" t="str">
        <f>IF('main calculation sheet'!B57 = 1,IF(RESULTSPRINT!B3 = 0," about "," at least ")," up to ")</f>
        <v xml:space="preserve"> up to </v>
      </c>
    </row>
    <row r="6" spans="1:3" x14ac:dyDescent="0.3">
      <c r="A6" t="s">
        <v>746</v>
      </c>
    </row>
    <row r="7" spans="1:3" x14ac:dyDescent="0.3">
      <c r="A7">
        <v>0</v>
      </c>
      <c r="B7" t="s">
        <v>747</v>
      </c>
      <c r="C7" t="s">
        <v>750</v>
      </c>
    </row>
    <row r="8" spans="1:3" x14ac:dyDescent="0.3">
      <c r="B8" t="s">
        <v>748</v>
      </c>
      <c r="C8" t="s">
        <v>751</v>
      </c>
    </row>
    <row r="9" spans="1:3" x14ac:dyDescent="0.3">
      <c r="B9" t="s">
        <v>749</v>
      </c>
      <c r="C9" t="str">
        <f>""</f>
        <v/>
      </c>
    </row>
    <row r="11" spans="1:3" x14ac:dyDescent="0.3">
      <c r="A11">
        <v>1</v>
      </c>
      <c r="B11" t="s">
        <v>747</v>
      </c>
      <c r="C11" t="s">
        <v>752</v>
      </c>
    </row>
    <row r="12" spans="1:3" x14ac:dyDescent="0.3">
      <c r="B12" t="s">
        <v>748</v>
      </c>
      <c r="C12" t="s">
        <v>753</v>
      </c>
    </row>
    <row r="13" spans="1:3" x14ac:dyDescent="0.3">
      <c r="B13" t="s">
        <v>749</v>
      </c>
      <c r="C13" t="str">
        <f>""</f>
        <v/>
      </c>
    </row>
    <row r="15" spans="1:3" x14ac:dyDescent="0.3">
      <c r="A15">
        <v>2</v>
      </c>
      <c r="B15" t="s">
        <v>747</v>
      </c>
      <c r="C15" t="s">
        <v>754</v>
      </c>
    </row>
    <row r="16" spans="1:3" x14ac:dyDescent="0.3">
      <c r="B16" t="s">
        <v>748</v>
      </c>
      <c r="C16" t="s">
        <v>755</v>
      </c>
    </row>
    <row r="17" spans="1:3" x14ac:dyDescent="0.3">
      <c r="B17" t="s">
        <v>749</v>
      </c>
      <c r="C17" t="s">
        <v>756</v>
      </c>
    </row>
    <row r="19" spans="1:3" x14ac:dyDescent="0.3">
      <c r="A19">
        <v>3</v>
      </c>
      <c r="B19" t="s">
        <v>747</v>
      </c>
      <c r="C19" t="s">
        <v>757</v>
      </c>
    </row>
    <row r="20" spans="1:3" x14ac:dyDescent="0.3">
      <c r="B20" t="s">
        <v>748</v>
      </c>
      <c r="C20" t="s">
        <v>758</v>
      </c>
    </row>
    <row r="21" spans="1:3" x14ac:dyDescent="0.3">
      <c r="B21" t="s">
        <v>749</v>
      </c>
      <c r="C21" t="s">
        <v>756</v>
      </c>
    </row>
    <row r="23" spans="1:3" x14ac:dyDescent="0.3">
      <c r="A23">
        <v>4</v>
      </c>
      <c r="B23" t="s">
        <v>747</v>
      </c>
      <c r="C23" t="s">
        <v>759</v>
      </c>
    </row>
    <row r="24" spans="1:3" x14ac:dyDescent="0.3">
      <c r="B24" t="s">
        <v>748</v>
      </c>
      <c r="C24" t="s">
        <v>760</v>
      </c>
    </row>
    <row r="25" spans="1:3" x14ac:dyDescent="0.3">
      <c r="B25" t="s">
        <v>749</v>
      </c>
      <c r="C25" t="str">
        <f>""</f>
        <v/>
      </c>
    </row>
    <row r="27" spans="1:3" x14ac:dyDescent="0.3">
      <c r="A27">
        <v>5</v>
      </c>
      <c r="B27" t="s">
        <v>747</v>
      </c>
      <c r="C27" t="s">
        <v>761</v>
      </c>
    </row>
    <row r="28" spans="1:3" x14ac:dyDescent="0.3">
      <c r="B28" t="s">
        <v>748</v>
      </c>
      <c r="C28" t="s">
        <v>762</v>
      </c>
    </row>
    <row r="29" spans="1:3" x14ac:dyDescent="0.3">
      <c r="B29" t="s">
        <v>749</v>
      </c>
      <c r="C29" t="s">
        <v>756</v>
      </c>
    </row>
    <row r="31" spans="1:3" x14ac:dyDescent="0.3">
      <c r="A31">
        <v>6</v>
      </c>
      <c r="B31" t="s">
        <v>747</v>
      </c>
      <c r="C31" t="s">
        <v>763</v>
      </c>
    </row>
    <row r="32" spans="1:3" x14ac:dyDescent="0.3">
      <c r="B32" t="s">
        <v>748</v>
      </c>
      <c r="C32" t="s">
        <v>764</v>
      </c>
    </row>
    <row r="33" spans="1:3" x14ac:dyDescent="0.3">
      <c r="B33" t="s">
        <v>749</v>
      </c>
      <c r="C33" t="str">
        <f>""</f>
        <v/>
      </c>
    </row>
    <row r="35" spans="1:3" x14ac:dyDescent="0.3">
      <c r="A35" t="s">
        <v>747</v>
      </c>
      <c r="B35" t="str" cm="1">
        <f t="array" ref="B35">_xlfn.IFS(FINALRESULTS!$B$3 = 0,C7,FINALRESULTS!$B$3 = 1,C11,FINALRESULTS!$B$3 = 2,C15,FINALRESULTS!$B$3 = 3,C19,FINALRESULTS!$B$3 = 4,C23,FINALRESULTS!$B$3 = 5,C27,FINALRESULTS!$B$3 = 6,C31)</f>
        <v>PARTIAL PENETRATION: Broken-up lower body (= 50% body weight) penetrates, but</v>
      </c>
    </row>
    <row r="36" spans="1:3" x14ac:dyDescent="0.3">
      <c r="A36" t="s">
        <v>748</v>
      </c>
      <c r="B36" t="str" cm="1">
        <f t="array" ref="B36">_xlfn.IFS(FINALRESULTS!$B$3 = 0,C8,FINALRESULTS!$B$3 = 1,C12,FINALRESULTS!$B$3 = 2,C16,FINALRESULTS!$B$3 = 3,C20,FINALRESULTS!$B$3 = 4,C24,FINALRESULTS!$B$3 = 5,C28,FINALRESULTS!$B$3 = 6,C32)</f>
        <v xml:space="preserve"> projectile nose ricochets (Major damage behind plate if filler explodes/burns)</v>
      </c>
    </row>
    <row r="37" spans="1:3" x14ac:dyDescent="0.3">
      <c r="A37" t="s">
        <v>749</v>
      </c>
      <c r="B37" t="str" cm="1">
        <f t="array" ref="B37">_xlfn.IFS(FINALRESULTS!$B$3 = 0,C9,FINALRESULTS!$B$3 = 1,C13,FINALRESULTS!$B$3 = 2,C17,FINALRESULTS!$B$3 = 3,C21,FINALRESULTS!$B$3 = 4,C25,FINALRESULTS!$B$3 = 5,C29,FINALRESULTS!$B$3 = 6,C33)</f>
        <v/>
      </c>
    </row>
  </sheetData>
  <sheetProtection algorithmName="SHA-512" hashValue="piB9D6/uwBije6XzjHIjy6HitDjEMMLSwwe/REK/6GJXEcjNoAdOQHzvj4FwX6ZvkZR4XuE1jMpPDVkVSozMWw==" saltValue="hL92+3fSa2wJwC2PaTpdFw==" spinCount="100000" sheet="1" objects="1" scenarios="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0C2B2-0FC8-416A-95F3-10C19F4111BC}">
  <sheetPr codeName="Sheet46"/>
  <dimension ref="A1:A23"/>
  <sheetViews>
    <sheetView workbookViewId="0">
      <selection activeCell="E43" sqref="E43"/>
    </sheetView>
  </sheetViews>
  <sheetFormatPr defaultRowHeight="14.4" x14ac:dyDescent="0.3"/>
  <sheetData>
    <row r="1" spans="1:1" x14ac:dyDescent="0.3">
      <c r="A1" t="s">
        <v>831</v>
      </c>
    </row>
    <row r="3" spans="1:1" x14ac:dyDescent="0.3">
      <c r="A3" t="s">
        <v>660</v>
      </c>
    </row>
    <row r="5" spans="1:1" x14ac:dyDescent="0.3">
      <c r="A5" t="s">
        <v>661</v>
      </c>
    </row>
    <row r="6" spans="1:1" x14ac:dyDescent="0.3">
      <c r="A6" t="s">
        <v>662</v>
      </c>
    </row>
    <row r="7" spans="1:1" x14ac:dyDescent="0.3">
      <c r="A7" t="s">
        <v>663</v>
      </c>
    </row>
    <row r="8" spans="1:1" x14ac:dyDescent="0.3">
      <c r="A8" t="s">
        <v>664</v>
      </c>
    </row>
    <row r="9" spans="1:1" x14ac:dyDescent="0.3">
      <c r="A9" t="s">
        <v>665</v>
      </c>
    </row>
    <row r="10" spans="1:1" x14ac:dyDescent="0.3">
      <c r="A10" t="s">
        <v>666</v>
      </c>
    </row>
    <row r="11" spans="1:1" x14ac:dyDescent="0.3">
      <c r="A11" t="s">
        <v>667</v>
      </c>
    </row>
    <row r="12" spans="1:1" x14ac:dyDescent="0.3">
      <c r="A12" t="s">
        <v>668</v>
      </c>
    </row>
    <row r="13" spans="1:1" x14ac:dyDescent="0.3">
      <c r="A13" t="s">
        <v>669</v>
      </c>
    </row>
    <row r="14" spans="1:1" x14ac:dyDescent="0.3">
      <c r="A14" t="s">
        <v>662</v>
      </c>
    </row>
    <row r="15" spans="1:1" x14ac:dyDescent="0.3">
      <c r="A15" t="s">
        <v>670</v>
      </c>
    </row>
    <row r="16" spans="1:1" x14ac:dyDescent="0.3">
      <c r="A16" t="s">
        <v>671</v>
      </c>
    </row>
    <row r="17" spans="1:1" x14ac:dyDescent="0.3">
      <c r="A17" t="s">
        <v>672</v>
      </c>
    </row>
    <row r="18" spans="1:1" x14ac:dyDescent="0.3">
      <c r="A18" t="s">
        <v>673</v>
      </c>
    </row>
    <row r="19" spans="1:1" x14ac:dyDescent="0.3">
      <c r="A19" t="s">
        <v>674</v>
      </c>
    </row>
    <row r="20" spans="1:1" x14ac:dyDescent="0.3">
      <c r="A20" t="s">
        <v>675</v>
      </c>
    </row>
    <row r="21" spans="1:1" x14ac:dyDescent="0.3">
      <c r="A21" t="s">
        <v>676</v>
      </c>
    </row>
    <row r="22" spans="1:1" x14ac:dyDescent="0.3">
      <c r="A22" t="s">
        <v>677</v>
      </c>
    </row>
    <row r="23" spans="1:1" x14ac:dyDescent="0.3">
      <c r="A23" t="s">
        <v>678</v>
      </c>
    </row>
  </sheetData>
  <sheetProtection algorithmName="SHA-512" hashValue="gcWOHVhQ7lcjdDhidKFKiBKWK3NJN1YYgt4u7InbkRsE9oxKm11yAUMqJlngMANLwe5/XJ3WoAXmnZLzudqT8A==" saltValue="vuRvJbjGPsXnV6yHKr8p+A=="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BA61-BBC4-4B64-AC1E-810CDAE7D784}">
  <sheetPr codeName="Sheet47"/>
  <dimension ref="A1:K14"/>
  <sheetViews>
    <sheetView workbookViewId="0">
      <selection activeCell="E43" sqref="E43"/>
    </sheetView>
  </sheetViews>
  <sheetFormatPr defaultRowHeight="14.4" x14ac:dyDescent="0.3"/>
  <sheetData>
    <row r="1" spans="1:11" x14ac:dyDescent="0.3">
      <c r="A1" t="s">
        <v>831</v>
      </c>
    </row>
    <row r="3" spans="1:11" x14ac:dyDescent="0.3">
      <c r="A3" t="s">
        <v>724</v>
      </c>
      <c r="B3" t="s">
        <v>725</v>
      </c>
    </row>
    <row r="4" spans="1:11" x14ac:dyDescent="0.3">
      <c r="A4" t="s">
        <v>724</v>
      </c>
      <c r="B4" s="1" t="str">
        <f>CONCATENATE("N1&gt; Navy BL w/o shatter, but all other damage &amp; given AP cap =",CALCBL!B62," ",BLPLUSEX!T94)</f>
        <v xml:space="preserve">N1&gt; Navy BL w/o shatter, but all other damage &amp; given AP cap =6238 </v>
      </c>
    </row>
    <row r="5" spans="1:11" x14ac:dyDescent="0.3">
      <c r="A5" t="s">
        <v>724</v>
      </c>
      <c r="B5" s="1" t="str">
        <f>CONCATENATE("N2&gt; Navy BL w/  shatter  and all other damage &amp; given AP cap =",CALCBL!B54," ",BLPLUSEX!U94," (Worst (maximum) NBL at low OB; replaces N1 when OB &lt;= 45 deg and N2 &lt; N1)")</f>
        <v>N2&gt; Navy BL w/  shatter  and all other damage &amp; given AP cap =239  (Worst (maximum) NBL at low OB; replaces N1 when OB &lt;= 45 deg and N2 &lt; N1)</v>
      </c>
    </row>
    <row r="6" spans="1:11" x14ac:dyDescent="0.3">
      <c r="A6" t="s">
        <v>724</v>
      </c>
      <c r="B6" s="1" t="str">
        <f>CONCATENATE("N3&gt; Navy BL w/  shatter, but no  other damage &amp; given AP cap =",CALCBL!B49," ",BLPLUSEX!V94," (Replaces N2 (&amp; N1/N4 if N2 does) @ NBL or VS if no    shatter-changing damage)")</f>
        <v>N3&gt; Navy BL w/  shatter, but no  other damage &amp; given AP cap =239  (Replaces N2 (&amp; N1/N4 if N2 does) @ NBL or VS if no    shatter-changing damage)</v>
      </c>
    </row>
    <row r="7" spans="1:11" x14ac:dyDescent="0.3">
      <c r="A7" t="s">
        <v>724</v>
      </c>
      <c r="B7" s="1" t="str">
        <f>CONCATENATE("N4&gt; Navy BL if unshattered/undeformed body and given AP cap  =",CALCBL!B43," ",BLPLUSEX!W94,"(Best (minimum) NBL; replaces N1 @ NBL or VS if no penetration-changing damage)")</f>
        <v>N4&gt; Navy BL if unshattered/undeformed body and given AP cap  =6238 !#(Best (minimum) NBL; replaces N1 @ NBL or VS if no penetration-changing damage)</v>
      </c>
    </row>
    <row r="8" spans="1:11" x14ac:dyDescent="0.3">
      <c r="A8" t="s">
        <v>724</v>
      </c>
      <c r="B8" s="1" t="s">
        <v>726</v>
      </c>
    </row>
    <row r="12" spans="1:11" x14ac:dyDescent="0.3">
      <c r="B12" t="s">
        <v>727</v>
      </c>
      <c r="I12">
        <f>CALCBL!B62</f>
        <v>6238</v>
      </c>
      <c r="J12" t="str">
        <f>BLPLUSEX!T94</f>
        <v/>
      </c>
    </row>
    <row r="13" spans="1:11" x14ac:dyDescent="0.3">
      <c r="B13" t="s">
        <v>728</v>
      </c>
      <c r="I13">
        <f>CALCBL!B54</f>
        <v>239</v>
      </c>
      <c r="J13" t="str">
        <f>BLPLUSEX!U94</f>
        <v/>
      </c>
      <c r="K13" t="s">
        <v>729</v>
      </c>
    </row>
    <row r="14" spans="1:11" x14ac:dyDescent="0.3">
      <c r="B14" t="s">
        <v>730</v>
      </c>
    </row>
  </sheetData>
  <sheetProtection algorithmName="SHA-512" hashValue="yX0+Th0JWkL0L+xWICvJE/INnZtD6D4BPLPPlLa+WUEpDA1DfloE3MY4ebPmKzzJqQ8MpaF05KRStfeB/DMK9A==" saltValue="iO8y/zrCgfiD+PbGm7QDd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EFC3-E055-4393-AC66-A3E0F050B217}">
  <sheetPr codeName="Sheet6"/>
  <dimension ref="A1:B2"/>
  <sheetViews>
    <sheetView workbookViewId="0">
      <selection activeCell="E43" sqref="E43"/>
    </sheetView>
  </sheetViews>
  <sheetFormatPr defaultRowHeight="14.4" x14ac:dyDescent="0.3"/>
  <sheetData>
    <row r="1" spans="1:2" x14ac:dyDescent="0.3">
      <c r="A1" t="s">
        <v>831</v>
      </c>
    </row>
    <row r="2" spans="1:2" x14ac:dyDescent="0.3">
      <c r="B2">
        <f>IF('Ins&amp;Outs'!F30 = "GRUSON CHILLED CAST IRON DOMES (VARIABLE FACE THICKNESS)",
    IF('Ins&amp;Outs'!F6 &lt;= 15.75, 45,
        IF('Ins&amp;Outs'!F6 &gt;= 33.07, 67,
            INT(45 + 22 * ('Ins&amp;Outs'!F6 - 15.75) / 17.32))),
    IF(OR('Ins&amp;Outs'!F30 = 'Armor Data'!V5,
           'Ins&amp;Outs'!F30 = 'Armor Data'!V6),
        INT(100 * (1 - (1.25 / 'Ins&amp;Outs'!F6))),
    IF('Ins&amp;Outs'!F30 = "ITALIAN POST-1930 TERNI CEMENTED (VARIABLE FACE THICKNESS = BEST THICK KC-TYPE &amp; NEAR-BEST THIN KC-TYPE)",
        IF('Ins&amp;Outs'!F6 &lt; 6.2205, 50,
            IF('Ins&amp;Outs'!F6 &gt; 10.433, 70,
                INT(100 * (1 - ((3.1102 + (0.004682 * ('Ins&amp;Outs'!F6 - 6.2205))) / 'Ins&amp;Outs'!F6))))),
    0)))</f>
        <v>0</v>
      </c>
    </row>
  </sheetData>
  <sheetProtection algorithmName="SHA-512" hashValue="vY77nEbnCSRL3w0NVEVfYgdUz7KrfsihFsnHmA7u/TPbOhQIgmFkdka8vrvAQZGjCXLJ5stgyvW5aHPShnGf2g==" saltValue="vpkeRKTLc+bcNNGugt7fm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018B-D391-4162-BA9C-95585EFC0D23}">
  <sheetPr codeName="Sheet7"/>
  <dimension ref="A1:B8"/>
  <sheetViews>
    <sheetView workbookViewId="0">
      <selection activeCell="B7" sqref="B7"/>
    </sheetView>
  </sheetViews>
  <sheetFormatPr defaultRowHeight="14.4" x14ac:dyDescent="0.3"/>
  <sheetData>
    <row r="1" spans="1:2" x14ac:dyDescent="0.3">
      <c r="A1" t="s">
        <v>831</v>
      </c>
    </row>
    <row r="2" spans="1:2" x14ac:dyDescent="0.3">
      <c r="B2" t="s">
        <v>258</v>
      </c>
    </row>
    <row r="3" spans="1:2" x14ac:dyDescent="0.3">
      <c r="B3">
        <f>'Armor Data'!AK4</f>
        <v>65</v>
      </c>
    </row>
    <row r="5" spans="1:2" x14ac:dyDescent="0.3">
      <c r="A5" t="s">
        <v>259</v>
      </c>
      <c r="B5" cm="1">
        <f t="array" ref="B5">_xlfn.IFS(B3&gt;90,0,B3&gt;75,0.000000665,B3&gt;67.5,0.00037,B3&gt;62,0.003,B3&gt;52,0.03,B3&gt;30,1,1=1,10.57)</f>
        <v>3.0000000000000001E-3</v>
      </c>
    </row>
    <row r="6" spans="1:2" x14ac:dyDescent="0.3">
      <c r="A6" t="s">
        <v>260</v>
      </c>
      <c r="B6" cm="1">
        <f t="array" ref="B6">_xlfn.IFS(B3&gt;90,1,B3&gt;75,5.35,B3&gt;67.5,3.23,B3&gt;62,2.75,B3&gt;52,2.1,B3&gt;30,1.25,1=1,0.80625)</f>
        <v>2.75</v>
      </c>
    </row>
    <row r="7" spans="1:2" x14ac:dyDescent="0.3">
      <c r="A7" t="s">
        <v>261</v>
      </c>
      <c r="B7" cm="1">
        <f t="array" ref="B7">_xlfn.IFS(B3&gt;90,79,B3&gt;75,78.5,B3&gt;67.5,77.8,B3&gt;62,77.7,B3&gt;52,77,B3&gt;30,67,1=1,17.26)</f>
        <v>77.7</v>
      </c>
    </row>
    <row r="8" spans="1:2" x14ac:dyDescent="0.3">
      <c r="A8" t="s">
        <v>262</v>
      </c>
      <c r="B8">
        <f>IF(OR('Ins&amp;Outs'!F30 = 'Armor Data'!V5,'Ins&amp;Outs'!F30 = 'Armor Data'!V6),(B5 * ('Ins&amp;Outs'!B6^B6) + B7) * (1 + (0.00027694 * ('Ins&amp;Outs'!B6^2.0291) - 0.0396135)),B5 * ('Ins&amp;Outs'!B6^B6) + B7)</f>
        <v>82.844844075065481</v>
      </c>
    </row>
  </sheetData>
  <sheetProtection algorithmName="SHA-512" hashValue="/cd95bGLT+d712RgDHWxDr/OUvb4FEVz4PvVzzDZkkJ6t9XNKRPqxNM5IcQUFWwRK46FLyt0eW4Qz7TazbtThQ==" saltValue="Axy838k3cmXLgBaPI/Huy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8656-8B84-4CDE-9A2F-0EA185B15A24}">
  <sheetPr codeName="Sheet8"/>
  <dimension ref="A1:D11"/>
  <sheetViews>
    <sheetView workbookViewId="0">
      <selection activeCell="E43" sqref="E43"/>
    </sheetView>
  </sheetViews>
  <sheetFormatPr defaultRowHeight="14.4" x14ac:dyDescent="0.3"/>
  <cols>
    <col min="1" max="1" width="15.88671875" bestFit="1" customWidth="1"/>
  </cols>
  <sheetData>
    <row r="1" spans="1:4" x14ac:dyDescent="0.3">
      <c r="A1" t="s">
        <v>831</v>
      </c>
    </row>
    <row r="3" spans="1:4" x14ac:dyDescent="0.3">
      <c r="A3" t="s">
        <v>263</v>
      </c>
      <c r="B3" cm="1">
        <f t="array" ref="B3">_xlfn.IFS('Ins&amp;Outs'!B30&lt;70,VLOOKUP(SETOBMULT!B5, OBMULT!B3:C18, 2, FALSE) + B6 * (VLOOKUP(SETOBMULT!B5 + 1, OBMULT!B3:C18, 2, FALSE) - VLOOKUP(SETOBMULT!B5, OBMULT!B3:C18, 2, FALSE)) + B7 * B6 * (B6-1) * (VLOOKUP(SETOBMULT!B5 + 2, OBMULT!B3:C18, 2, FALSE) - 2 * VLOOKUP(SETOBMULT!B5 + 1, OBMULT!B3:C18, 2, FALSE) + VLOOKUP(SETOBMULT!B5, OBMULT!B3:C18, 2, FALSE)),'Ins&amp;Outs'!B30=70,8,1=1,100)</f>
        <v>100</v>
      </c>
    </row>
    <row r="4" spans="1:4" x14ac:dyDescent="0.3">
      <c r="A4" t="s">
        <v>264</v>
      </c>
      <c r="B4">
        <f>IF('main calculation sheet'!B32 &lt; THINSELECT!B3,IF(AND('main calculation sheet'!B32 &lt; THINSELECT!B3,'main calculation sheet'!B32 &gt; THINPRINT!B3),IF('main calculation sheet'!B32 &gt; (THINPRINT!B3 + 0.05),B11 + 0.625 * ABS(B9 - B11),B11 + 0.3 * ABS(B9-B11)),B11),_xlfn.IFS('Ins&amp;Outs'!B30 &gt;75,100,'Ins&amp;Outs'!B30 = 75,B8,1=1,SETOBMULT!B9))</f>
        <v>1.4630876800000001</v>
      </c>
      <c r="D4" s="3"/>
    </row>
    <row r="5" spans="1:4" x14ac:dyDescent="0.3">
      <c r="A5" t="s">
        <v>267</v>
      </c>
      <c r="B5">
        <f>INT('Ins&amp;Outs'!B30 / 5)</f>
        <v>15</v>
      </c>
    </row>
    <row r="6" spans="1:4" x14ac:dyDescent="0.3">
      <c r="A6" t="s">
        <v>268</v>
      </c>
      <c r="B6">
        <f>('Ins&amp;Outs'!B30 - 5 * SETOBMULT!B5) / 5</f>
        <v>0.44000000000000056</v>
      </c>
    </row>
    <row r="7" spans="1:4" x14ac:dyDescent="0.3">
      <c r="A7" t="s">
        <v>269</v>
      </c>
      <c r="B7">
        <f>IF(SETOBMULT!B5 &gt; 11, 0, 0.5)</f>
        <v>0</v>
      </c>
    </row>
    <row r="8" spans="1:4" x14ac:dyDescent="0.3">
      <c r="A8" t="s">
        <v>270</v>
      </c>
      <c r="B8">
        <v>5.5263999999999998</v>
      </c>
    </row>
    <row r="9" spans="1:4" x14ac:dyDescent="0.3">
      <c r="A9" t="s">
        <v>271</v>
      </c>
      <c r="B9">
        <f>1/COS(1.061*RADIANS('Ins&amp;Outs'!B30))</f>
        <v>7.1051863716949759</v>
      </c>
    </row>
    <row r="10" spans="1:4" x14ac:dyDescent="0.3">
      <c r="A10" t="s">
        <v>272</v>
      </c>
      <c r="B10">
        <v>1.51</v>
      </c>
    </row>
    <row r="11" spans="1:4" x14ac:dyDescent="0.3">
      <c r="A11" t="s">
        <v>273</v>
      </c>
      <c r="B11">
        <f>IF('Ins&amp;Outs'!B30 &gt; 80,B10,VLOOKUP(SETOBMULT!B5, OBMULT!E3:F20, 2, FALSE) + B6 * (VLOOKUP(SETOBMULT!B5 + 1, OBMULT!E3:F20, 2, FALSE) - VLOOKUP(SETOBMULT!B5, OBMULT!E3:F20, 2, FALSE)) + 0.5 * B6 * (B6 - 1) * (VLOOKUP(SETOBMULT!B5 + 2, OBMULT!E3:F20, 2, FALSE) - 2 * VLOOKUP(SETOBMULT!B5 + 1, OBMULT!E3:F20, 2, FALSE) + VLOOKUP(SETOBMULT!B5, OBMULT!E3:F20, 2, FALSE)))</f>
        <v>1.4630876800000001</v>
      </c>
    </row>
  </sheetData>
  <sheetProtection algorithmName="SHA-512" hashValue="XFTjJu+JrMLU3XHMBAfeNDN0afaeSjP/AS7WAwQfdf1xMyF2X7F15/zE80SaxJ5sUwKlcgfBYeKmmp9Sa5k76w==" saltValue="2ow4csn6ijR59RJNz2F0t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014F5-D24B-4329-B44E-C4D4163E68BF}">
  <sheetPr codeName="Sheet9"/>
  <dimension ref="A1:F20"/>
  <sheetViews>
    <sheetView workbookViewId="0">
      <selection activeCell="E43" sqref="E43"/>
    </sheetView>
  </sheetViews>
  <sheetFormatPr defaultRowHeight="14.4" x14ac:dyDescent="0.3"/>
  <sheetData>
    <row r="1" spans="1:6" x14ac:dyDescent="0.3">
      <c r="A1" t="s">
        <v>831</v>
      </c>
    </row>
    <row r="2" spans="1:6" x14ac:dyDescent="0.3">
      <c r="C2" t="s">
        <v>265</v>
      </c>
      <c r="F2" t="s">
        <v>266</v>
      </c>
    </row>
    <row r="3" spans="1:6" x14ac:dyDescent="0.3">
      <c r="B3">
        <v>0</v>
      </c>
      <c r="C3">
        <v>1</v>
      </c>
      <c r="E3">
        <v>0</v>
      </c>
      <c r="F3">
        <v>1</v>
      </c>
    </row>
    <row r="4" spans="1:6" x14ac:dyDescent="0.3">
      <c r="B4">
        <v>1</v>
      </c>
      <c r="C4">
        <v>1.0449999999999999</v>
      </c>
      <c r="E4">
        <v>1</v>
      </c>
      <c r="F4">
        <v>1.002</v>
      </c>
    </row>
    <row r="5" spans="1:6" x14ac:dyDescent="0.3">
      <c r="B5">
        <v>2</v>
      </c>
      <c r="C5">
        <v>1.0900000000000001</v>
      </c>
      <c r="E5">
        <v>2</v>
      </c>
      <c r="F5">
        <v>1.0078</v>
      </c>
    </row>
    <row r="6" spans="1:6" x14ac:dyDescent="0.3">
      <c r="B6">
        <v>3</v>
      </c>
      <c r="C6">
        <v>1.135</v>
      </c>
      <c r="E6">
        <v>3</v>
      </c>
      <c r="F6">
        <v>1.0176000000000001</v>
      </c>
    </row>
    <row r="7" spans="1:6" x14ac:dyDescent="0.3">
      <c r="B7">
        <v>4</v>
      </c>
      <c r="C7">
        <v>1.18</v>
      </c>
      <c r="E7">
        <v>4</v>
      </c>
      <c r="F7">
        <v>1.0314000000000001</v>
      </c>
    </row>
    <row r="8" spans="1:6" x14ac:dyDescent="0.3">
      <c r="B8">
        <v>5</v>
      </c>
      <c r="C8">
        <v>1.2350000000000001</v>
      </c>
      <c r="E8">
        <v>5</v>
      </c>
      <c r="F8">
        <v>1.0495000000000001</v>
      </c>
    </row>
    <row r="9" spans="1:6" x14ac:dyDescent="0.3">
      <c r="B9">
        <v>6</v>
      </c>
      <c r="C9">
        <v>1.31</v>
      </c>
      <c r="E9">
        <v>6</v>
      </c>
      <c r="F9">
        <v>1.0722</v>
      </c>
    </row>
    <row r="10" spans="1:6" x14ac:dyDescent="0.3">
      <c r="B10">
        <v>7</v>
      </c>
      <c r="C10">
        <v>1.4</v>
      </c>
      <c r="E10">
        <v>7</v>
      </c>
      <c r="F10">
        <v>1.0993999999999999</v>
      </c>
    </row>
    <row r="11" spans="1:6" x14ac:dyDescent="0.3">
      <c r="B11">
        <v>8</v>
      </c>
      <c r="C11">
        <v>1.53</v>
      </c>
      <c r="E11">
        <v>8</v>
      </c>
      <c r="F11">
        <v>1.1316999999999999</v>
      </c>
    </row>
    <row r="12" spans="1:6" x14ac:dyDescent="0.3">
      <c r="B12">
        <v>9</v>
      </c>
      <c r="C12">
        <v>1.6950000000000001</v>
      </c>
      <c r="E12">
        <v>9</v>
      </c>
      <c r="F12">
        <v>1.1672</v>
      </c>
    </row>
    <row r="13" spans="1:6" x14ac:dyDescent="0.3">
      <c r="B13">
        <v>10</v>
      </c>
      <c r="C13">
        <v>1.9</v>
      </c>
      <c r="E13">
        <v>10</v>
      </c>
      <c r="F13">
        <v>1.2018</v>
      </c>
    </row>
    <row r="14" spans="1:6" x14ac:dyDescent="0.3">
      <c r="B14">
        <v>11</v>
      </c>
      <c r="C14">
        <v>2.2999999999999998</v>
      </c>
      <c r="E14">
        <v>11</v>
      </c>
      <c r="F14">
        <v>1.2377</v>
      </c>
    </row>
    <row r="15" spans="1:6" x14ac:dyDescent="0.3">
      <c r="B15">
        <v>12</v>
      </c>
      <c r="C15">
        <v>3.2</v>
      </c>
      <c r="E15">
        <v>12</v>
      </c>
      <c r="F15">
        <v>1.2782</v>
      </c>
    </row>
    <row r="16" spans="1:6" x14ac:dyDescent="0.3">
      <c r="B16">
        <v>13</v>
      </c>
      <c r="C16">
        <v>4.9000000000000004</v>
      </c>
      <c r="E16">
        <v>13</v>
      </c>
      <c r="F16">
        <v>1.3236000000000001</v>
      </c>
    </row>
    <row r="17" spans="2:6" x14ac:dyDescent="0.3">
      <c r="B17">
        <v>14</v>
      </c>
      <c r="C17">
        <v>8</v>
      </c>
      <c r="E17">
        <v>14</v>
      </c>
      <c r="F17">
        <v>1.3714999999999999</v>
      </c>
    </row>
    <row r="18" spans="2:6" x14ac:dyDescent="0.3">
      <c r="B18">
        <v>15</v>
      </c>
      <c r="C18">
        <v>15</v>
      </c>
      <c r="E18">
        <v>15</v>
      </c>
      <c r="F18">
        <v>1.429</v>
      </c>
    </row>
    <row r="19" spans="2:6" x14ac:dyDescent="0.3">
      <c r="E19">
        <v>16</v>
      </c>
      <c r="F19">
        <v>1.51</v>
      </c>
    </row>
    <row r="20" spans="2:6" x14ac:dyDescent="0.3">
      <c r="E20">
        <v>17</v>
      </c>
      <c r="F20">
        <v>1.6035999999999999</v>
      </c>
    </row>
  </sheetData>
  <sheetProtection algorithmName="SHA-512" hashValue="/02I6PGBLBnN/tTT3BzvVeBJigmWmRzDSb9HD9dU3bjH+w02nTG0dVdZfR51xb17sYi1FuBo0MXdBC3PTu9AWA==" saltValue="k9MOqYgLEsZolZjuhx+MY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7C1-5961-4ECE-B448-A0FA06AFBCD8}">
  <sheetPr codeName="Sheet10"/>
  <dimension ref="A1:B6"/>
  <sheetViews>
    <sheetView workbookViewId="0">
      <selection activeCell="E43" sqref="E43"/>
    </sheetView>
  </sheetViews>
  <sheetFormatPr defaultRowHeight="14.4" x14ac:dyDescent="0.3"/>
  <cols>
    <col min="1" max="1" width="12.6640625" bestFit="1" customWidth="1"/>
  </cols>
  <sheetData>
    <row r="1" spans="1:2" x14ac:dyDescent="0.3">
      <c r="A1" t="s">
        <v>831</v>
      </c>
    </row>
    <row r="3" spans="1:2" x14ac:dyDescent="0.3">
      <c r="A3" t="s">
        <v>274</v>
      </c>
      <c r="B3">
        <f>'Projectile Data'!AT4</f>
        <v>20</v>
      </c>
    </row>
    <row r="4" spans="1:2" ht="15" customHeight="1" x14ac:dyDescent="0.3">
      <c r="A4" t="s">
        <v>275</v>
      </c>
      <c r="B4" s="2">
        <f>_xlfn.IFS('Armor Data'!AM4 = 1,
B3 + 10,
OR('Ins&amp;Outs'!F30 ='Armor Data'!V6),
     IF('Ins&amp;Outs'!F6 &gt;= 8,
          B3 + 10,
          IF('Armor Data'!AP4 = 1,
               B3 + (5 + 5 * (('Ins&amp;Outs'!F6 - 5) / 3)),
               B3)),
'Armor Data'!AP4 = 1,
            B3 + 5,
1=1,
       B3
)</f>
        <v>20</v>
      </c>
    </row>
    <row r="5" spans="1:2" x14ac:dyDescent="0.3">
      <c r="A5" t="s">
        <v>275</v>
      </c>
      <c r="B5">
        <f>IF(B4 &lt; 5,
    IF('Projectile Data'!AT4 &gt; 0, 5, B4),
    B4
)</f>
        <v>20</v>
      </c>
    </row>
    <row r="6" spans="1:2" x14ac:dyDescent="0.3">
      <c r="A6" t="s">
        <v>276</v>
      </c>
      <c r="B6">
        <f>IF(B5 &lt; 0, 0, B5)</f>
        <v>20</v>
      </c>
    </row>
  </sheetData>
  <sheetProtection algorithmName="SHA-512" hashValue="8z+gxNC2RnVA8qsrg+FGKJ+0lPDfXBUqsOwzMl19BjIrm3N5IOqDNAiyTVPPBc6fXP2QvSwe28BLlVxPdSWfEA==" saltValue="Shm9AKEiyTTKlAXz7P8Ug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k B G X E 5 k C U G l A A A A 9 g A A A B I A H A B D b 2 5 m a W c v U G F j a 2 F n Z S 5 4 b W w g o h g A K K A U A A A A A A A A A A A A A A A A A A A A A A A A A A A A h Y 9 L D o I w G I S v Q r q n D z Q R S S k L t 5 K Y E I 3 b p l Z o h B 9 D i + V u L j y S V x C j q D u X M / N N M n O / 3 n g 2 N H V w 0 Z 0 1 L a S I Y Y o C D a o 9 G C h T 1 L t j G K N M 8 I 1 U J 1 n q Y I T B J o M 1 K a q c O y e E e O + x n + G 2 K 0 l E K S P 7 f F 2 o S j c y N G C d B K X R p 3 X 4 3 0 K C 7 1 5 j R I T Z f I n Z I s a U k 8 n k u Y E v E I 1 7 n + m P y V d 9 7 f p O C w 3 h t u B k k p y 8 P 4 g H U E s D B B Q A A g A I A C Z A R 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Q E Z c K I p H u A 4 A A A A R A A A A E w A c A E Z v c m 1 1 b G F z L 1 N l Y 3 R p b 2 4 x L m 0 g o h g A K K A U A A A A A A A A A A A A A A A A A A A A A A A A A A A A K 0 5 N L s n M z 1 M I h t C G 1 g B Q S w E C L Q A U A A I A C A A m Q E Z c T m Q J Q a U A A A D 2 A A A A E g A A A A A A A A A A A A A A A A A A A A A A Q 2 9 u Z m l n L 1 B h Y 2 t h Z 2 U u e G 1 s U E s B A i 0 A F A A C A A g A J k B G X A / K 6 a u k A A A A 6 Q A A A B M A A A A A A A A A A A A A A A A A 8 Q A A A F t D b 2 5 0 Z W 5 0 X 1 R 5 c G V z X S 5 4 b W x Q S w E C L Q A U A A I A C A A m Q E Z 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C / f w r a w j E 2 9 q 3 U g n j c I m A A A A A A C A A A A A A A Q Z g A A A A E A A C A A A A C r b 0 3 1 I d A x X h + P 6 z D Z R j F E z P z E D E I / u c U T U n r p f h N U I g A A A A A O g A A A A A I A A C A A A A A n B h v D J j 7 d Z 9 a f u X 9 0 A v 2 b b u H s y 5 J B H t X p 6 h H R H + b c 2 F A A A A D o g Z + 6 / f I 9 l T d w S 9 V U u Y i E g Y D 8 J I v n m k t J E E p b j 5 P X 9 V j y c p / H x L 9 g D N R x d m k S q j T A g W P 2 / / / R 3 1 y f F i K R l H s X K 0 G + F b 1 6 N x x n k 3 s 7 1 j X n E U A A A A C J d 0 M 4 o k K L 6 t j g k r F K k p X 0 s W K t o E R C 8 h 5 M l Y 4 S m E H A p s b x / e x w 7 V X u U 5 P Y O P X W f f E V L F Y e Z j u w d 0 i W Q p 8 4 m B q J < / D a t a M a s h u p > 
</file>

<file path=customXml/itemProps1.xml><?xml version="1.0" encoding="utf-8"?>
<ds:datastoreItem xmlns:ds="http://schemas.openxmlformats.org/officeDocument/2006/customXml" ds:itemID="{8AFAA502-5DDD-4FA6-8E0F-67B52D3EEE2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Ins&amp;Outs</vt:lpstr>
      <vt:lpstr>generic tables</vt:lpstr>
      <vt:lpstr>Projectile Data</vt:lpstr>
      <vt:lpstr>Armor Data</vt:lpstr>
      <vt:lpstr>FACECALC</vt:lpstr>
      <vt:lpstr>SCALEFACTOR</vt:lpstr>
      <vt:lpstr>SETOBMULT</vt:lpstr>
      <vt:lpstr>OBMULT</vt:lpstr>
      <vt:lpstr>NOSEDAM</vt:lpstr>
      <vt:lpstr>PROJQMODS</vt:lpstr>
      <vt:lpstr>PLUGCALC</vt:lpstr>
      <vt:lpstr>CALCVDF</vt:lpstr>
      <vt:lpstr>BENDLOGIC</vt:lpstr>
      <vt:lpstr>THRESHOLDCALC</vt:lpstr>
      <vt:lpstr>INITVALHDR</vt:lpstr>
      <vt:lpstr>DEFLECCALC</vt:lpstr>
      <vt:lpstr>SHATRDAM</vt:lpstr>
      <vt:lpstr>NOSEBROKE</vt:lpstr>
      <vt:lpstr>PENVRVPLGCALC</vt:lpstr>
      <vt:lpstr>SETMINEV</vt:lpstr>
      <vt:lpstr>EFFVELINIT</vt:lpstr>
      <vt:lpstr>GETPROJDWTWB</vt:lpstr>
      <vt:lpstr>DOCRTGOOD</vt:lpstr>
      <vt:lpstr>REMVELPRNT</vt:lpstr>
      <vt:lpstr>temp REMVELPRNT</vt:lpstr>
      <vt:lpstr>MODIFYVDF</vt:lpstr>
      <vt:lpstr>SHTRMULTSELECT</vt:lpstr>
      <vt:lpstr>MINEVSHATCALC</vt:lpstr>
      <vt:lpstr>THINSELECT</vt:lpstr>
      <vt:lpstr>THINPRINT</vt:lpstr>
      <vt:lpstr>CALCBL</vt:lpstr>
      <vt:lpstr>BLPLUSEX</vt:lpstr>
      <vt:lpstr>BLPLUSEXtemp</vt:lpstr>
      <vt:lpstr>DAMAGECALC</vt:lpstr>
      <vt:lpstr>FINALRESULTS</vt:lpstr>
      <vt:lpstr>RESULTSPRINT</vt:lpstr>
      <vt:lpstr>SETUPSECPG</vt:lpstr>
      <vt:lpstr>DAMAGESETUP</vt:lpstr>
      <vt:lpstr>main calculation sheet</vt:lpstr>
      <vt:lpstr>ORDER OF SUBS</vt:lpstr>
      <vt:lpstr>SPLNTRPRNT</vt:lpstr>
      <vt:lpstr>NSBDYDAMPRNT</vt:lpstr>
      <vt:lpstr>PROJMOTIONPRNT</vt:lpstr>
      <vt:lpstr>PENPRINT</vt:lpstr>
      <vt:lpstr>LMTSTRINGS</vt:lpstr>
      <vt:lpstr>SCPGPRNT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dc:creator>
  <cp:lastModifiedBy>Tony DiGiulian</cp:lastModifiedBy>
  <dcterms:created xsi:type="dcterms:W3CDTF">2015-06-05T18:17:20Z</dcterms:created>
  <dcterms:modified xsi:type="dcterms:W3CDTF">2026-05-29T17:43:05Z</dcterms:modified>
</cp:coreProperties>
</file>